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8595" windowHeight="6465" activeTab="1"/>
  </bookViews>
  <sheets>
    <sheet name="NCP Budget Summary" sheetId="3" r:id="rId1"/>
    <sheet name="Narrative" sheetId="4" r:id="rId2"/>
    <sheet name="Anchor Agency (3)" sheetId="5" r:id="rId3"/>
    <sheet name="Support Services Partners" sheetId="1" r:id="rId4"/>
    <sheet name="Anchor Agencies (3)" sheetId="2" state="hidden" r:id="rId5"/>
    <sheet name="MC2 and OTG" sheetId="8" r:id="rId6"/>
    <sheet name="BTS and C3" sheetId="9" r:id="rId7"/>
    <sheet name="Sheet3" sheetId="7" r:id="rId8"/>
  </sheets>
  <calcPr calcId="125725"/>
</workbook>
</file>

<file path=xl/calcChain.xml><?xml version="1.0" encoding="utf-8"?>
<calcChain xmlns="http://schemas.openxmlformats.org/spreadsheetml/2006/main">
  <c r="B31" i="3"/>
  <c r="C31" s="1"/>
  <c r="F24" i="9"/>
  <c r="E20"/>
  <c r="C22"/>
  <c r="C21"/>
  <c r="C20"/>
  <c r="C25" i="3"/>
  <c r="B25"/>
  <c r="C23"/>
  <c r="C21"/>
  <c r="B21"/>
  <c r="C19"/>
  <c r="C23" i="9"/>
  <c r="C19"/>
  <c r="B28" i="3"/>
  <c r="C28" s="1"/>
  <c r="B27"/>
  <c r="C27" s="1"/>
  <c r="I27" i="8"/>
  <c r="I26"/>
  <c r="I25"/>
  <c r="I24"/>
  <c r="I23"/>
  <c r="I22"/>
  <c r="I21"/>
  <c r="I20"/>
  <c r="I19"/>
  <c r="I18"/>
  <c r="I17"/>
  <c r="I16"/>
  <c r="I8"/>
  <c r="I7"/>
  <c r="I6"/>
  <c r="I5"/>
  <c r="E5"/>
  <c r="I17" i="5"/>
  <c r="E17"/>
  <c r="B19" i="3" s="1"/>
  <c r="I16" i="5"/>
  <c r="I15"/>
  <c r="I14"/>
  <c r="I13"/>
  <c r="I12"/>
  <c r="I11"/>
  <c r="I10"/>
  <c r="I9"/>
  <c r="I8"/>
  <c r="I7"/>
  <c r="B23" i="3"/>
  <c r="D25" i="9"/>
  <c r="C7"/>
  <c r="E7"/>
  <c r="F7" s="1"/>
  <c r="G7" s="1"/>
  <c r="H7" s="1"/>
  <c r="D6"/>
  <c r="E6" s="1"/>
  <c r="F6" s="1"/>
  <c r="G6" s="1"/>
  <c r="H6" s="1"/>
  <c r="E9" l="1"/>
  <c r="I7"/>
  <c r="F9"/>
  <c r="E10"/>
  <c r="B29" i="3" s="1"/>
  <c r="I6" i="9"/>
  <c r="E23"/>
  <c r="F23" s="1"/>
  <c r="E21"/>
  <c r="F21" s="1"/>
  <c r="F20"/>
  <c r="E19"/>
  <c r="F19" s="1"/>
  <c r="C18"/>
  <c r="E18" s="1"/>
  <c r="F18" s="1"/>
  <c r="C17"/>
  <c r="E25"/>
  <c r="F25" s="1"/>
  <c r="E24"/>
  <c r="E22"/>
  <c r="F22" s="1"/>
  <c r="E17"/>
  <c r="F17" s="1"/>
  <c r="E8"/>
  <c r="F8" s="1"/>
  <c r="D10" i="5"/>
  <c r="E10" s="1"/>
  <c r="F10" s="1"/>
  <c r="G10" s="1"/>
  <c r="E9" i="8"/>
  <c r="E8"/>
  <c r="E27"/>
  <c r="E26"/>
  <c r="F25"/>
  <c r="G25" s="1"/>
  <c r="H25" s="1"/>
  <c r="E25"/>
  <c r="D25"/>
  <c r="G24"/>
  <c r="H24" s="1"/>
  <c r="F24"/>
  <c r="E24"/>
  <c r="G22"/>
  <c r="H22" s="1"/>
  <c r="F22"/>
  <c r="D23"/>
  <c r="E23" s="1"/>
  <c r="F23" s="1"/>
  <c r="G23" s="1"/>
  <c r="H23" s="1"/>
  <c r="E22"/>
  <c r="H21"/>
  <c r="G21"/>
  <c r="F21"/>
  <c r="E21"/>
  <c r="H19"/>
  <c r="G19"/>
  <c r="F19"/>
  <c r="E19"/>
  <c r="D17"/>
  <c r="E17" s="1"/>
  <c r="F17" s="1"/>
  <c r="G17" s="1"/>
  <c r="H17" s="1"/>
  <c r="D18"/>
  <c r="E18" s="1"/>
  <c r="F18" s="1"/>
  <c r="G18" s="1"/>
  <c r="H18" s="1"/>
  <c r="D16"/>
  <c r="E16"/>
  <c r="F16" s="1"/>
  <c r="D7"/>
  <c r="E7" s="1"/>
  <c r="F7" s="1"/>
  <c r="G7" s="1"/>
  <c r="H7" s="1"/>
  <c r="D6"/>
  <c r="E6" s="1"/>
  <c r="F6" s="1"/>
  <c r="G6" s="1"/>
  <c r="H6" s="1"/>
  <c r="D8" i="5"/>
  <c r="D7"/>
  <c r="H14"/>
  <c r="G14"/>
  <c r="F14"/>
  <c r="E14"/>
  <c r="G24" i="9" l="1"/>
  <c r="H24" s="1"/>
  <c r="G22"/>
  <c r="H22" s="1"/>
  <c r="G21"/>
  <c r="H21" s="1"/>
  <c r="F10"/>
  <c r="G23"/>
  <c r="H23" s="1"/>
  <c r="G17"/>
  <c r="H17" s="1"/>
  <c r="I17" s="1"/>
  <c r="G19"/>
  <c r="H19" s="1"/>
  <c r="G18"/>
  <c r="H18" s="1"/>
  <c r="G20"/>
  <c r="H20" s="1"/>
  <c r="G25"/>
  <c r="H25" s="1"/>
  <c r="F27" i="8"/>
  <c r="F26"/>
  <c r="G27"/>
  <c r="G26"/>
  <c r="F27" i="9"/>
  <c r="F26"/>
  <c r="E26"/>
  <c r="E27" s="1"/>
  <c r="B30" i="3" s="1"/>
  <c r="G8" i="9"/>
  <c r="H10" i="5"/>
  <c r="G16" i="8"/>
  <c r="F5"/>
  <c r="E15" i="5"/>
  <c r="F15" s="1"/>
  <c r="G15" s="1"/>
  <c r="H15" s="1"/>
  <c r="E12"/>
  <c r="F12" s="1"/>
  <c r="G12" s="1"/>
  <c r="H12" s="1"/>
  <c r="E7"/>
  <c r="E16" s="1"/>
  <c r="D9"/>
  <c r="E9" s="1"/>
  <c r="F9" s="1"/>
  <c r="G9" s="1"/>
  <c r="H9" s="1"/>
  <c r="E8"/>
  <c r="F8" s="1"/>
  <c r="G8" s="1"/>
  <c r="H8" s="1"/>
  <c r="E13"/>
  <c r="F13" s="1"/>
  <c r="G13" s="1"/>
  <c r="H13" s="1"/>
  <c r="E11"/>
  <c r="F11" s="1"/>
  <c r="G11" s="1"/>
  <c r="H11" s="1"/>
  <c r="F10" i="1"/>
  <c r="E10"/>
  <c r="B24" i="3" s="1"/>
  <c r="C24" s="1"/>
  <c r="E9" i="1"/>
  <c r="B20" i="3" s="1"/>
  <c r="C20" s="1"/>
  <c r="E8" i="1"/>
  <c r="D5"/>
  <c r="E5" s="1"/>
  <c r="E7"/>
  <c r="F7" s="1"/>
  <c r="E6"/>
  <c r="H6" i="2"/>
  <c r="I24" i="9" l="1"/>
  <c r="I21"/>
  <c r="G9"/>
  <c r="I25"/>
  <c r="I22"/>
  <c r="I23"/>
  <c r="I18"/>
  <c r="I19"/>
  <c r="G27"/>
  <c r="G7" i="1"/>
  <c r="H7" s="1"/>
  <c r="F8"/>
  <c r="G8" s="1"/>
  <c r="H8" s="1"/>
  <c r="B26" i="3"/>
  <c r="C26" s="1"/>
  <c r="F6" i="1"/>
  <c r="B22" i="3"/>
  <c r="C22" s="1"/>
  <c r="F9" i="1"/>
  <c r="G10"/>
  <c r="H10" s="1"/>
  <c r="F5"/>
  <c r="E11"/>
  <c r="G26" i="9"/>
  <c r="I20"/>
  <c r="I8" i="1"/>
  <c r="G5" i="8"/>
  <c r="F8"/>
  <c r="H27" i="9"/>
  <c r="H26"/>
  <c r="H8"/>
  <c r="H16" i="8"/>
  <c r="F7" i="5"/>
  <c r="F16" s="1"/>
  <c r="F17" s="1"/>
  <c r="H9" i="9" l="1"/>
  <c r="H10"/>
  <c r="I9"/>
  <c r="G10"/>
  <c r="I8"/>
  <c r="I27"/>
  <c r="C30" i="3" s="1"/>
  <c r="G9" i="1"/>
  <c r="H9" s="1"/>
  <c r="I6"/>
  <c r="G6"/>
  <c r="H6" s="1"/>
  <c r="F11"/>
  <c r="G5"/>
  <c r="H5" s="1"/>
  <c r="I7"/>
  <c r="I10"/>
  <c r="I26" i="9"/>
  <c r="F9" i="8"/>
  <c r="H5"/>
  <c r="G9"/>
  <c r="G8"/>
  <c r="H26"/>
  <c r="H27"/>
  <c r="G7" i="5"/>
  <c r="I10" i="9" l="1"/>
  <c r="C29" i="3" s="1"/>
  <c r="I9" i="1"/>
  <c r="G11"/>
  <c r="I5"/>
  <c r="H8" i="8"/>
  <c r="H9" s="1"/>
  <c r="I9" s="1"/>
  <c r="H7" i="5"/>
  <c r="G17"/>
  <c r="G16"/>
  <c r="H11" i="1"/>
  <c r="I11" l="1"/>
  <c r="H16" i="5"/>
  <c r="H17"/>
  <c r="B32" i="3" l="1"/>
  <c r="B34" s="1"/>
  <c r="C32"/>
  <c r="C34" s="1"/>
</calcChain>
</file>

<file path=xl/sharedStrings.xml><?xml version="1.0" encoding="utf-8"?>
<sst xmlns="http://schemas.openxmlformats.org/spreadsheetml/2006/main" count="273" uniqueCount="157">
  <si>
    <t>Organiztion</t>
  </si>
  <si>
    <t>Budget Category</t>
  </si>
  <si>
    <t>Quanity</t>
  </si>
  <si>
    <t>Year 1</t>
  </si>
  <si>
    <t>Year 2</t>
  </si>
  <si>
    <t>Year 3</t>
  </si>
  <si>
    <t>Year 4</t>
  </si>
  <si>
    <t>Line Item</t>
  </si>
  <si>
    <t>Annual Cost</t>
  </si>
  <si>
    <t>Notes</t>
  </si>
  <si>
    <t>Space Rental </t>
  </si>
  <si>
    <t>$18,000 ($1,500/month)</t>
  </si>
  <si>
    <t>For use of space in the agency (work space, storage, etc)</t>
  </si>
  <si>
    <t>Supplies</t>
  </si>
  <si>
    <t>Whatever is needed to carry out the work</t>
  </si>
  <si>
    <t>Multiple ways of doing this, but the 25% payroll overhead is included in the 75k</t>
  </si>
  <si>
    <t>Each organization will be paid for their reputation/connection with the neighborhood</t>
  </si>
  <si>
    <t>Administration fee (10%)</t>
  </si>
  <si>
    <t>For administrative costs and oversight </t>
  </si>
  <si>
    <t>Total Budget</t>
  </si>
  <si>
    <t>$207,900 </t>
  </si>
  <si>
    <t>Annual award</t>
  </si>
  <si>
    <r>
      <t xml:space="preserve">Notes: </t>
    </r>
    <r>
      <rPr>
        <sz val="12"/>
        <color rgb="FF000000"/>
        <rFont val="Calibri"/>
        <family val="2"/>
        <scheme val="minor"/>
      </rPr>
      <t>This budget is designed to build the capacity of the anchor organizations to meet the needs of the neighborhood and work collaboratively with each other. The three Anchor Agencies are SWAN at Montgomery in the Southwest, Cameron Community Ministries in the Northwest, and Father Tracy Advocacy Center in the Northeast. Other agencies may be added later, but these three agencies are the foundation.</t>
    </r>
  </si>
  <si>
    <t>On-Site Anchor Vocational Trainer</t>
  </si>
  <si>
    <t>(w/Program Support Services)</t>
  </si>
  <si>
    <t>eighborhood credibility</t>
  </si>
  <si>
    <t>Neighborhood Collaborative Project
(NCP)</t>
  </si>
  <si>
    <t xml:space="preserve">Anchor Agency Allocation (A3) Budget 
replicated for each neighborhood area (SW, NE, NW)
</t>
  </si>
  <si>
    <t>AA Budget Summary Totals
= A3 Budget Totals * 3 neighborhood areas</t>
  </si>
  <si>
    <t>On-Site Anchor Social Worker
( Health / Human Services)</t>
  </si>
  <si>
    <r>
      <t xml:space="preserve">Primary Neighborhood Collaborative Project Worker
</t>
    </r>
    <r>
      <rPr>
        <i/>
        <sz val="10"/>
        <color rgb="FF000000"/>
        <rFont val="Calibri"/>
        <family val="2"/>
        <scheme val="minor"/>
      </rPr>
      <t>(FTE / % of Anchor/Project Staff)</t>
    </r>
  </si>
  <si>
    <t>Rate Per Unit</t>
  </si>
  <si>
    <t>Per Diem Stipends</t>
  </si>
  <si>
    <t>Line Item Notes</t>
  </si>
  <si>
    <t>Personnel related cost increase projected for inflation years 2-4  such as stipends, contracted services, allocations for FTE staffing/benefits, etc.</t>
  </si>
  <si>
    <t>Non-personnel related cost increase projected for inflation years 2-4  such as supplies, equipment, travel, etc.</t>
  </si>
  <si>
    <t>Action for a Better Community Action Front Center (citywide)</t>
  </si>
  <si>
    <t># of months used to calculate year to year non-personnel costs</t>
  </si>
  <si>
    <t>Shopping Carts : four (4) per month
new purchase and/or replacement</t>
  </si>
  <si>
    <t>Frozen Meat: $5 per household
avg. 350 households per month</t>
  </si>
  <si>
    <t>Administrative Support</t>
  </si>
  <si>
    <t>Peer Outreach Workers (PoWs)
pair of 2 @ Anchor Agency = 6 PoWs
$15/hour; 2hrs/day; 3 days/wk; 50 weeks</t>
  </si>
  <si>
    <t>Unrestricted allocation to support org/neighborhood needs (i.e. operations, emergencies, referral mgmt, supplies, etc.)</t>
  </si>
  <si>
    <t>Total Request by Year</t>
  </si>
  <si>
    <t>Salaries</t>
  </si>
  <si>
    <t>Neighborhood Collaborative Project (NCP) Worker</t>
  </si>
  <si>
    <r>
      <t>(Anchor Choice FTE:  contracted services from project partners, MWBE affiliates, etc.  on-site master's level social worker; Graduate/Doctoral resident internship</t>
    </r>
    <r>
      <rPr>
        <sz val="10"/>
        <color rgb="FF000000"/>
        <rFont val="Calibri"/>
        <family val="2"/>
        <scheme val="minor"/>
      </rPr>
      <t xml:space="preserve">
</t>
    </r>
  </si>
  <si>
    <t xml:space="preserve">Each Anchor will identify SWAN was thinking of training people for security jobs (50k to trainer and 18k to trainees, one model). Each organization can choose their vocational path focus for Cameron's K-6 youth and teen center programs
focus for  SWAN at Montgomery Center's family services, youth and older adults programs
 </t>
  </si>
  <si>
    <r>
      <t xml:space="preserve">Staffing Options / Flexibility </t>
    </r>
    <r>
      <rPr>
        <b/>
        <sz val="11"/>
        <color theme="1"/>
        <rFont val="Calibri"/>
        <family val="2"/>
        <scheme val="minor"/>
      </rPr>
      <t>*</t>
    </r>
  </si>
  <si>
    <t xml:space="preserve">Staffing Flexibility*: AA's  primary point of contact and coordination; liaison for NCP
</t>
  </si>
  <si>
    <t>On-site, full-time staff; could be an AA direct hire; % of existing FTE salary; contracted service from an external coordinator/consultant, NCP partner, MWBE affiliates, etc.;  allocation includes 25% for benefits/payroll overhead.</t>
  </si>
  <si>
    <t>Staffing Flexibility*: AA's master's level social worker; graduate/doctoral resident internship,etc..</t>
  </si>
  <si>
    <t>Staffing Flexibility*: AA's content/vocation expert/ trainer in the an area of focus identified by neighborhood/AA need (i.e security @ SWAN; K-6 youth and teen development @ Cameron; substance abuse counselor assistant @ FTAC)</t>
  </si>
  <si>
    <t>On-Site  Vocational Trainer
(Workforce Development / Employment)</t>
  </si>
  <si>
    <t>Outreach Supplies &amp; Materials
(walks &amp; corner pop-ups)</t>
  </si>
  <si>
    <t>Office Supply Supplement</t>
  </si>
  <si>
    <t>Monthly supplement to support NCP use of AA's office materials: copier/printer paper, toner, pens, pads, clipboards, folders, etc.</t>
  </si>
  <si>
    <t>Bring Monroe Back - Monroe County ARPA Budget Proposal</t>
  </si>
  <si>
    <t>Personnel Costs List Each Employee Name, Title/Position</t>
  </si>
  <si>
    <t>Proposed Expenditures for Year 1 (2023)</t>
  </si>
  <si>
    <t>Proposed Expenditures for years 1-4 (2023-2026)</t>
  </si>
  <si>
    <t>Fringe Benefits</t>
  </si>
  <si>
    <t>Total Personnel Costs:</t>
  </si>
  <si>
    <t>Other Than Personnel Services Costs</t>
  </si>
  <si>
    <t>Total Other Than Personnel Services Costs:</t>
  </si>
  <si>
    <t>Total Project Cost:</t>
  </si>
  <si>
    <t>Neighborhood Credibilty / Trust Value
(AA's brand identity / reputation</t>
  </si>
  <si>
    <t>Monthly supplement for AA facility use; unrestricted allocation to support NCP's use of storage, workspace, utilities, travel, etc.</t>
  </si>
  <si>
    <t>Snacks, Incentives, Swag for Community Distribution</t>
  </si>
  <si>
    <t>Communications</t>
  </si>
  <si>
    <t>Stipends</t>
  </si>
  <si>
    <t>Vocational Training Stipends for Community Members</t>
  </si>
  <si>
    <t>Water, non-perishable snacks, constituent incentives: ex: pens, magnets, decals t-shirts, gift cards - ~$200/month</t>
  </si>
  <si>
    <t>Facility Use / Operations Supplement</t>
  </si>
  <si>
    <t>10x10 canopies,  cooler wagon, folding chairs &amp; tables, masks, hygenie kits, hand santizers, condoms, safety kits, mini flashlights, etc.</t>
  </si>
  <si>
    <t>Budget Notes for Anchor Agency Partners (AA) - one in each neighborhood area (NorthEast, NorthWest, SouthWest quadrants)</t>
  </si>
  <si>
    <t>ArcGIS Professional</t>
  </si>
  <si>
    <t>Constant Contact</t>
  </si>
  <si>
    <t>On-Site Social Worker
(Health / Human Services)</t>
  </si>
  <si>
    <t>Budget Item</t>
  </si>
  <si>
    <t>Full-time, Master's level social worker or graduate/doctoral resident internship.</t>
  </si>
  <si>
    <t>Part-time, Master's level social worker or graduate/doctoral resident internship.</t>
  </si>
  <si>
    <t>Supervision/Consultation - Anchor Agency Social Workers and NCP Workers</t>
  </si>
  <si>
    <t>Contracted Services</t>
  </si>
  <si>
    <t>Coordinates crisis/case management services &amp; support across the three neighborhood areas; liaison to city, county and NYS Health/Human Services resources, referrals etc.</t>
  </si>
  <si>
    <t>allocation includes 25% for benefits/payroll overhead.</t>
  </si>
  <si>
    <t>Student Research Assistant</t>
  </si>
  <si>
    <t>Assists and supports research activities
$16/hour; 10 hours/week; 50 weeks</t>
  </si>
  <si>
    <t>Implements/manages NCP's communications plan
$30/hour; 40 hours/month; 12 months</t>
  </si>
  <si>
    <t>Communications Coordinator</t>
  </si>
  <si>
    <t xml:space="preserve">Research Supplies </t>
  </si>
  <si>
    <t>Allocation based on avg. $250 per month for refreshments, printing, projector, participant compensation, etc.</t>
  </si>
  <si>
    <t xml:space="preserve">Marketing </t>
  </si>
  <si>
    <t>Publicity and neighborhood engagement via radio, advertisement, flyers, direct mailings, etc.</t>
  </si>
  <si>
    <t>Software and Subscriptions</t>
  </si>
  <si>
    <t xml:space="preserve">Policy Map Software </t>
  </si>
  <si>
    <t xml:space="preserve">Zoom for Business </t>
  </si>
  <si>
    <t>Four (4) licenses per Anchor Agency and one for the other NCP oversight committee member agencies;  total  (16); $199 per license/yr</t>
  </si>
  <si>
    <t>Slack Business</t>
  </si>
  <si>
    <t>Mapping and analytics platform with a data warehouse of over 50K Indicators
Ten (10) subscriptions per year</t>
  </si>
  <si>
    <t>Research software for examining spatial relationships; predicting outcomes and data-driven decisions</t>
  </si>
  <si>
    <t>Collaboration software for real-time communications across/within NCP and its partners (50 licenses @ $12.50/month)</t>
  </si>
  <si>
    <t>Communications easy-to-use, all-in-one digital and email marketing platform ($35/month subscription)</t>
  </si>
  <si>
    <t>NCP Local Researcher &amp; Communications Manager (part-time@ ~$/60/hr ; 20hrs/wk)</t>
  </si>
  <si>
    <t>NCP Local Researcher  (part-time)</t>
  </si>
  <si>
    <t xml:space="preserve">10% de minimis indirect cost rate </t>
  </si>
  <si>
    <t>Max ten (10) participants for vocational training program; 3 phase $200 stipend incentive (pre, mid and post payments); three (3) training cohorts per year; three months training; one month recruitment cycle</t>
  </si>
  <si>
    <t>Project Lead / Community Consultant</t>
  </si>
  <si>
    <t>Project Historian / Neighborhood Legacy Coordinator</t>
  </si>
  <si>
    <t xml:space="preserve">On-Site / Field Coordinator </t>
  </si>
  <si>
    <t>Anchor Agency(AA)clients selected to provide and support neighborhood voice, engagement, advocacy, lived experience expertise; 2 per AA location @ 10hrs/wk for 50 weeks</t>
  </si>
  <si>
    <t>Neighborhood Ambassadors (6)
two (2) per Anchor Agency</t>
  </si>
  <si>
    <t>Mileage Reimbursement for Contracted Staff</t>
  </si>
  <si>
    <t>Local Travel</t>
  </si>
  <si>
    <t>Per Diem Compensation for On-Site Helpers</t>
  </si>
  <si>
    <t>Tablet Package for On-Site Coordination &amp; Project Management (5)</t>
  </si>
  <si>
    <t>Technology</t>
  </si>
  <si>
    <t>Signage for Participant Support Services Agencies; social distancing, etc;  Neighborhood Site Location Banners (1-3 per site location), Storage Crate for Materials (3); Clipboards, Note Pads, Pens, necessity kits/swag/giveaways for neighborhood engagement and legacy activities; Community Debrief: Post-it 2-1 Dry Erase /Flip Chart Paper Pad (3), Dry Erase Markers (3)</t>
  </si>
  <si>
    <t>Wraparound Support Services</t>
  </si>
  <si>
    <t>~100 miles per month - 2022 Mileage Reimbursement Rate  ~ 58.5 cents per mile</t>
  </si>
  <si>
    <t>Mileage Reimbursement for NCP Liaison</t>
  </si>
  <si>
    <t>Neighborhood Collaborative Project (NCP) Liaison</t>
  </si>
  <si>
    <t xml:space="preserve">Staffing Flexibility*: primary point of contact and coordination; liaisons with Anchor Agency's NCP Workers
</t>
  </si>
  <si>
    <t>Total Years 2-4</t>
  </si>
  <si>
    <t>Total Years
2-4</t>
  </si>
  <si>
    <t>Supplies &amp; Materials Allowances - average $100/month</t>
  </si>
  <si>
    <t>Anchor Agency for SW Quadrant (SWAN)</t>
  </si>
  <si>
    <t>Anchor Agency for NE Quadrant (FTAC)</t>
  </si>
  <si>
    <t>Anchor Agency for NW Quadrant (Cameron)</t>
  </si>
  <si>
    <t>Barakah Muslim Charities (SW)</t>
  </si>
  <si>
    <t>Lyell Ave. Business Association (NW)</t>
  </si>
  <si>
    <t>The Peoples' Pantry (NE)</t>
  </si>
  <si>
    <t>Baden Street Counseling and Support Center (citywide)</t>
  </si>
  <si>
    <t>MC Collaborative - MC2 (citywide)</t>
  </si>
  <si>
    <t>On The Ground Research - OTG (citywide)</t>
  </si>
  <si>
    <t>Beyond the Sanctuary - BTS (citywide)</t>
  </si>
  <si>
    <t xml:space="preserve">This budget is designed to build the capacity of the anchor organizations to meet the needs of the neighborhood and work collaboratively with each other. This budget is the model for each of the three Anchor Agencies which are SWAN at Montgomery in the Southwest, Cameron Community Ministries in the Northwest, and Father Tracy Advocacy Center in the Northeast. The amounts described below represent one (1) Anchor Agency and are replicated for each Anchor Agency in the NCP Budget Summary. </t>
  </si>
  <si>
    <r>
      <t>Budget Notes for Support Services Partners</t>
    </r>
    <r>
      <rPr>
        <sz val="11"/>
        <color theme="1"/>
        <rFont val="Calibri"/>
        <family val="2"/>
        <scheme val="minor"/>
      </rPr>
      <t xml:space="preserve">:  </t>
    </r>
    <r>
      <rPr>
        <sz val="10"/>
        <color theme="1"/>
        <rFont val="Calibri"/>
        <family val="2"/>
        <scheme val="minor"/>
      </rPr>
      <t>An allocation of $27,000 per support service partner in each of the three neighborhood area plus two citywide support partnersproviding a pair of peer outreach workers for each area. The amounts described below are listed in the NCP Project Summary for each Support Services Partner.</t>
    </r>
  </si>
  <si>
    <r>
      <t>Budget Notes for MC Collaborative</t>
    </r>
    <r>
      <rPr>
        <sz val="11"/>
        <color theme="1"/>
        <rFont val="Calibri"/>
        <family val="2"/>
        <scheme val="minor"/>
      </rPr>
      <t xml:space="preserve">: </t>
    </r>
    <r>
      <rPr>
        <sz val="10"/>
        <color theme="1"/>
        <rFont val="Calibri"/>
        <family val="2"/>
        <scheme val="minor"/>
      </rPr>
      <t xml:space="preserve">provides citywide crisis and case management services across the Project, coordination liaison to the on-site social workers at each Anchor Agency and serves as a member of the Neighborhood Collaborative Project (NCP) oversight committee. </t>
    </r>
  </si>
  <si>
    <r>
      <t>Budget Notes for On The Ground Research (OTG)</t>
    </r>
    <r>
      <rPr>
        <sz val="11"/>
        <color theme="1"/>
        <rFont val="Calibri"/>
        <family val="2"/>
        <scheme val="minor"/>
      </rPr>
      <t xml:space="preserve">: </t>
    </r>
    <r>
      <rPr>
        <sz val="10"/>
        <color theme="1"/>
        <rFont val="Calibri"/>
        <family val="2"/>
        <scheme val="minor"/>
      </rPr>
      <t xml:space="preserve">serves as the citywide, local researcher, provides ongoing data collection and analysis to understand the transformative impact across the Project, and manages NCP's communication strategy, including community quarterly reports, social media presence, etc. and serves as a member of the Neighborhood Collaborative Project (NCP) oversight committee. </t>
    </r>
  </si>
  <si>
    <r>
      <t>Budget Notes for C3 Consultancy Services</t>
    </r>
    <r>
      <rPr>
        <sz val="11"/>
        <color theme="1"/>
        <rFont val="Calibri"/>
        <family val="2"/>
        <scheme val="minor"/>
      </rPr>
      <t xml:space="preserve">: </t>
    </r>
    <r>
      <rPr>
        <sz val="10"/>
        <color theme="1"/>
        <rFont val="Calibri"/>
        <family val="2"/>
        <scheme val="minor"/>
      </rPr>
      <t xml:space="preserve">is the citywide project lead and process facilitator, oversee the planning period, conducts asset-mapping, develops cross-agency training for NCP workers and neighborhood ambassadors,  coordinate corner canopy events and serves as a member of the Neighborhood Collaborative Project (NCP) oversight committee. </t>
    </r>
  </si>
  <si>
    <r>
      <t>Budget Notes for Beyond the Sanctuary</t>
    </r>
    <r>
      <rPr>
        <sz val="11"/>
        <color theme="1"/>
        <rFont val="Calibri"/>
        <family val="2"/>
        <scheme val="minor"/>
      </rPr>
      <t xml:space="preserve">: </t>
    </r>
    <r>
      <rPr>
        <sz val="10"/>
        <color theme="1"/>
        <rFont val="Calibri"/>
        <family val="2"/>
        <scheme val="minor"/>
      </rPr>
      <t>prioritizes NCP clients and provides wraparound support services for all three neighborhood sites; including, but not limited to their workforce readiness and DMV driving programs, clothes closet,  and LPN vocational program; will also refer clients to/from BTS Wednesday meal program and serves as a member of the Neighborhood Collaborative Project (NCP) oversight committee.</t>
    </r>
  </si>
  <si>
    <t>Coordinates wraparound services &amp; support across the three neighborhood areas for workforce readiness, transportation, food, etc (~$1500 per Anchor Agency/month)</t>
  </si>
  <si>
    <r>
      <t xml:space="preserve">Organization Name: </t>
    </r>
    <r>
      <rPr>
        <b/>
        <u/>
        <sz val="12"/>
        <color theme="1"/>
        <rFont val="Calibri"/>
        <family val="2"/>
      </rPr>
      <t>Community Resource Collaborative on Behalf of the Neighborhood Collaborative Project</t>
    </r>
  </si>
  <si>
    <t>BUDGET NARRATIVE: Neighborhood Collaborative Project (fiscal sponsor: Community Resource Collaborative)</t>
  </si>
  <si>
    <t>Each organization will be compensated for the value-add their brand, reputation, legacy, connection, presence, respect within their neighborhood area</t>
  </si>
  <si>
    <t>Neighborhood Area Historical Chronology, Evaluation Collaboration, etc: preparation &amp; organization; neighborhood on-site documentation, interviews, focus groups, artifact/info gathering; post-reporting, debrief, follow-up, records management. (10hrs/wk for 50 weeks)</t>
  </si>
  <si>
    <t>Liaison for Anchor Agency and neighborhood area on-site event coordination, logistics point of contact. (15 hrs/wk for 50 weeks)</t>
  </si>
  <si>
    <t>Project Coordination and Management Services: pre-planning &amp; organization; cross-agency training, neighborhood area outreach events, logistics, post-reporting &amp; evaluation collaboration and other activities as needed. (20hrs/wk for 50 weeks)</t>
  </si>
  <si>
    <t xml:space="preserve">Corner Canopy Outreach logistics support: set-up, outreach, post/pass out flyers, etc.; two (2) on-site helpers per event * $25 each * 2 events/month * 3 site locations * 4 months (June-Sept)
</t>
  </si>
  <si>
    <t>Neighborhood Ambassadors: RTS Adult All- Day Passes @ $3.00/each * 5 days a week (~50 weeks)
On-Site Helpers: RTS Adult All- Day Passes @ $3.00/each *two (2) on-site helpers per event * $25 each * 2 events/month * 3 site locations * 4 months (June-Sept)</t>
  </si>
  <si>
    <t>~ 100 miles/month  to/from three anchor sites for the on-site coordinator, project historian (actual will vary based on site locations) 2022 Mileage Reimbursement Rate  ~ 58.5 cents per mile</t>
  </si>
  <si>
    <t>Year1: Microsoft Surface Pro X, Platinum, Microsoft SQ® 2 - WiFi, 16GB RAM, 256GB SSD - $1,200; Keyboard - $140 / Surface Slim Pen 2 - $120; Microsoft 365 Personal (15-Month Subscription) - $70 / 13-15 inch Sleeve Travel Bag - $20; Microsoft Complete for Surface Pro with Accidental Damage Coverage (2-Year) - $150; Microsoft Arc Mouse - $30 / USB-C® Travel Hub - $75 /  4K Wireless Display Adapter - $70; HPRT Wireless Bluetooth Portable Printer + Case + 3 Ribbons  for Outdoor Traveling Printer - $300; Years 2-4 $500 allowance for supplies and subscription renewals per package</t>
  </si>
  <si>
    <t>Bus Pass for Non-Driving Contracted Staff</t>
  </si>
  <si>
    <r>
      <rPr>
        <b/>
        <sz val="10"/>
        <color theme="1"/>
        <rFont val="Calibri"/>
        <family val="2"/>
        <scheme val="minor"/>
      </rPr>
      <t xml:space="preserve">FISCAL SPONSOR: </t>
    </r>
    <r>
      <rPr>
        <sz val="10"/>
        <color theme="1"/>
        <rFont val="Calibri"/>
        <family val="2"/>
        <scheme val="minor"/>
      </rPr>
      <t>Community Resource Collaborative (5%)</t>
    </r>
  </si>
  <si>
    <t>C3 Consultancy Services  - C3 (citywide)</t>
  </si>
  <si>
    <t>In response to the County's announcement to fund workable solutions that support  a long-term, collaborative recovery plan; the Neighborhood Collaborative Project (NCP) invites the County to consider its current day-to-day collaborations in/among three neighborhood areas within the city of Rochester's Southwest, Northeast and Northwest quadrants. The proposal envisions four years of responsive  and continous planning, building, implementation, and reflection using deliberate and thoughtful investment, guided by capable, competent, committed individuals doing the work to build back better.
Through NCP, this proposal and budget will "Building Back Better" through cultural understanding and respect, civic responsibility and caring concern utilizing existing neighborhood assets (Anchor Agencies &amp; Support Services Partners) to provide critical services and supports to those who are in need, ignored, underserved, and/or neglected right where they are; increase the capacity and capability of day-to-day operations within each Anchor Agency, build and improve neighbor/neighborhood relations and engagement in each of the three city quadrants, and most importantly, help to establish and maintain healthy, supported, informed and thriving households across our community.
NCP is a collective impact initiative, comprised of multiple organizations working together within and on behalf of these three neighborhood areas. The project budget summary is comprised of each organization's total budget requests. A detailed budget for each organization is provided as well. As requested, this budget provides Year 1 requests and Years 2-4, which include a projected 3% increase for non-personnel costs and a 5% increase for personel costs.
Community Resource Collaborative, Inc, serves as NCP's fiscal sponsor and as such a 5% administrative fee has been added to the overall project budget.</t>
  </si>
</sst>
</file>

<file path=xl/styles.xml><?xml version="1.0" encoding="utf-8"?>
<styleSheet xmlns="http://schemas.openxmlformats.org/spreadsheetml/2006/main">
  <numFmts count="4">
    <numFmt numFmtId="6" formatCode="&quot;$&quot;#,##0_);[Red]\(&quot;$&quot;#,##0\)"/>
    <numFmt numFmtId="44" formatCode="_(&quot;$&quot;* #,##0.00_);_(&quot;$&quot;* \(#,##0.00\);_(&quot;$&quot;* &quot;-&quot;??_);_(@_)"/>
    <numFmt numFmtId="164" formatCode="0.0%"/>
    <numFmt numFmtId="165" formatCode="&quot;$&quot;#,##0.00"/>
  </numFmts>
  <fonts count="16">
    <font>
      <sz val="11"/>
      <color theme="1"/>
      <name val="Calibri"/>
      <family val="2"/>
      <scheme val="minor"/>
    </font>
    <font>
      <b/>
      <sz val="11"/>
      <color theme="1"/>
      <name val="Calibri"/>
      <family val="2"/>
      <scheme val="minor"/>
    </font>
    <font>
      <b/>
      <u/>
      <sz val="11"/>
      <color theme="1"/>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i/>
      <sz val="10"/>
      <color rgb="FF000000"/>
      <name val="Calibri"/>
      <family val="2"/>
      <scheme val="minor"/>
    </font>
    <font>
      <sz val="10"/>
      <color theme="1"/>
      <name val="Calibri"/>
      <family val="2"/>
      <scheme val="minor"/>
    </font>
    <font>
      <b/>
      <sz val="18"/>
      <color theme="1"/>
      <name val="Calibri"/>
      <family val="2"/>
    </font>
    <font>
      <b/>
      <sz val="12"/>
      <color theme="1"/>
      <name val="Calibri"/>
      <family val="2"/>
    </font>
    <font>
      <sz val="10"/>
      <color theme="1"/>
      <name val="Arial"/>
      <family val="2"/>
    </font>
    <font>
      <b/>
      <sz val="10"/>
      <color theme="1"/>
      <name val="Calibri"/>
      <family val="2"/>
    </font>
    <font>
      <i/>
      <sz val="10"/>
      <color theme="1"/>
      <name val="Calibri"/>
      <family val="2"/>
    </font>
    <font>
      <b/>
      <u/>
      <sz val="12"/>
      <color theme="1"/>
      <name val="Calibri"/>
      <family val="2"/>
    </font>
    <font>
      <b/>
      <u/>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ECECEC"/>
        <bgColor indexed="64"/>
      </patternFill>
    </fill>
    <fill>
      <patternFill patternType="solid">
        <fgColor rgb="FF00000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top style="medium">
        <color rgb="FFCCCCCC"/>
      </top>
      <bottom style="medium">
        <color rgb="FF000000"/>
      </bottom>
      <diagonal/>
    </border>
    <border>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right style="medium">
        <color rgb="FF000000"/>
      </right>
      <top style="medium">
        <color rgb="FF000000"/>
      </top>
      <bottom style="medium">
        <color rgb="FFCCCCCC"/>
      </bottom>
      <diagonal/>
    </border>
    <border>
      <left style="medium">
        <color rgb="FFCCCCCC"/>
      </left>
      <right/>
      <top style="medium">
        <color rgb="FFCCCCCC"/>
      </top>
      <bottom style="medium">
        <color rgb="FF000000"/>
      </bottom>
      <diagonal/>
    </border>
  </borders>
  <cellStyleXfs count="1">
    <xf numFmtId="0" fontId="0" fillId="0" borderId="0"/>
  </cellStyleXfs>
  <cellXfs count="79">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xf numFmtId="0" fontId="3" fillId="0" borderId="1" xfId="0" applyFont="1" applyBorder="1" applyAlignment="1">
      <alignment horizontal="center" vertical="top" wrapText="1"/>
    </xf>
    <xf numFmtId="0" fontId="5" fillId="0" borderId="3" xfId="0" applyFont="1" applyBorder="1" applyAlignment="1">
      <alignment horizontal="center" vertical="top" wrapText="1"/>
    </xf>
    <xf numFmtId="0" fontId="4" fillId="0" borderId="1" xfId="0" applyFont="1" applyBorder="1" applyAlignment="1">
      <alignment vertical="top" wrapText="1"/>
    </xf>
    <xf numFmtId="6" fontId="4" fillId="0" borderId="1" xfId="0" applyNumberFormat="1" applyFont="1" applyBorder="1" applyAlignment="1">
      <alignment vertical="top" wrapText="1"/>
    </xf>
    <xf numFmtId="0" fontId="3" fillId="0" borderId="0" xfId="0" applyFont="1" applyAlignment="1">
      <alignment wrapText="1"/>
    </xf>
    <xf numFmtId="0" fontId="0" fillId="0" borderId="0" xfId="0" applyAlignment="1">
      <alignment vertical="top" wrapText="1"/>
    </xf>
    <xf numFmtId="0" fontId="4" fillId="0" borderId="2" xfId="0" applyFont="1" applyBorder="1" applyAlignment="1">
      <alignment horizontal="center" vertical="top" wrapText="1"/>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44" fontId="7" fillId="0" borderId="0" xfId="0" applyNumberFormat="1" applyFont="1" applyAlignment="1">
      <alignment horizontal="left" vertical="center"/>
    </xf>
    <xf numFmtId="0" fontId="1" fillId="0" borderId="0" xfId="0" applyFont="1" applyAlignment="1">
      <alignment horizontal="center" vertical="center" wrapText="1"/>
    </xf>
    <xf numFmtId="0" fontId="7" fillId="0" borderId="0" xfId="0" applyFont="1" applyAlignment="1">
      <alignment horizontal="left" vertical="center" wrapText="1"/>
    </xf>
    <xf numFmtId="164" fontId="7" fillId="2" borderId="0" xfId="0" applyNumberFormat="1" applyFont="1" applyFill="1" applyAlignment="1">
      <alignment horizontal="right" vertical="center" wrapText="1"/>
    </xf>
    <xf numFmtId="0" fontId="7" fillId="2" borderId="0" xfId="0" applyFont="1" applyFill="1" applyAlignment="1">
      <alignment horizontal="right" vertical="center" wrapText="1"/>
    </xf>
    <xf numFmtId="0" fontId="7" fillId="0" borderId="0" xfId="0" applyFont="1" applyAlignment="1">
      <alignment horizontal="center" vertical="center"/>
    </xf>
    <xf numFmtId="44" fontId="7" fillId="0" borderId="0" xfId="0" applyNumberFormat="1" applyFont="1" applyAlignment="1">
      <alignment horizontal="right" vertical="center"/>
    </xf>
    <xf numFmtId="0" fontId="0" fillId="0" borderId="0" xfId="0" applyAlignment="1">
      <alignment horizontal="right"/>
    </xf>
    <xf numFmtId="44" fontId="7" fillId="0" borderId="0" xfId="0" applyNumberFormat="1" applyFont="1" applyAlignment="1">
      <alignment horizontal="center" vertical="center"/>
    </xf>
    <xf numFmtId="44" fontId="1" fillId="0" borderId="0" xfId="0" applyNumberFormat="1" applyFont="1" applyAlignment="1">
      <alignment horizontal="left" vertical="center"/>
    </xf>
    <xf numFmtId="44" fontId="1" fillId="0" borderId="0" xfId="0" applyNumberFormat="1" applyFont="1" applyAlignment="1">
      <alignment horizontal="right"/>
    </xf>
    <xf numFmtId="0" fontId="7" fillId="2" borderId="0" xfId="0" applyFont="1" applyFill="1" applyAlignment="1">
      <alignment horizontal="left"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top" wrapText="1"/>
    </xf>
    <xf numFmtId="0" fontId="10" fillId="3" borderId="7" xfId="0" applyFont="1" applyFill="1" applyBorder="1" applyAlignment="1">
      <alignment vertical="center" wrapText="1"/>
    </xf>
    <xf numFmtId="0" fontId="12" fillId="0" borderId="7" xfId="0" applyFont="1" applyBorder="1" applyAlignment="1">
      <alignment vertical="center" wrapText="1"/>
    </xf>
    <xf numFmtId="0" fontId="10" fillId="4" borderId="7" xfId="0" applyFont="1" applyFill="1" applyBorder="1" applyAlignment="1">
      <alignment vertical="center" wrapText="1"/>
    </xf>
    <xf numFmtId="0" fontId="10" fillId="4" borderId="12" xfId="0" applyFont="1" applyFill="1" applyBorder="1" applyAlignment="1">
      <alignment vertical="center" wrapText="1"/>
    </xf>
    <xf numFmtId="0" fontId="10" fillId="4" borderId="11" xfId="0" applyFont="1" applyFill="1" applyBorder="1" applyAlignment="1">
      <alignment vertical="center" wrapText="1"/>
    </xf>
    <xf numFmtId="0" fontId="7" fillId="0" borderId="0" xfId="0" applyNumberFormat="1" applyFont="1" applyAlignment="1">
      <alignment horizontal="center" vertical="center" wrapText="1"/>
    </xf>
    <xf numFmtId="0" fontId="7" fillId="0" borderId="0" xfId="0" applyNumberFormat="1" applyFont="1" applyAlignment="1">
      <alignment horizontal="left" vertical="center" wrapText="1"/>
    </xf>
    <xf numFmtId="44" fontId="7" fillId="0" borderId="0" xfId="0" applyNumberFormat="1" applyFont="1" applyAlignment="1">
      <alignment horizontal="right" vertical="center" wrapText="1"/>
    </xf>
    <xf numFmtId="165" fontId="7" fillId="0" borderId="0" xfId="0" applyNumberFormat="1" applyFont="1" applyAlignment="1">
      <alignment vertical="center" wrapText="1"/>
    </xf>
    <xf numFmtId="0" fontId="1" fillId="0" borderId="0" xfId="0" applyFont="1" applyAlignment="1">
      <alignment horizontal="center" vertical="center"/>
    </xf>
    <xf numFmtId="165" fontId="7" fillId="0" borderId="0" xfId="0" applyNumberFormat="1" applyFont="1" applyAlignment="1">
      <alignment horizontal="right"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xf>
    <xf numFmtId="0" fontId="0" fillId="0" borderId="0" xfId="0" applyAlignment="1">
      <alignment horizontal="center" vertical="center"/>
    </xf>
    <xf numFmtId="44" fontId="11" fillId="0" borderId="11" xfId="0" applyNumberFormat="1" applyFont="1" applyBorder="1" applyAlignment="1">
      <alignment horizontal="right" vertical="center" wrapText="1"/>
    </xf>
    <xf numFmtId="0" fontId="7" fillId="3" borderId="7" xfId="0" applyFont="1" applyFill="1" applyBorder="1" applyAlignment="1">
      <alignment vertical="center" wrapText="1"/>
    </xf>
    <xf numFmtId="44" fontId="7" fillId="3" borderId="11" xfId="0" applyNumberFormat="1" applyFont="1" applyFill="1" applyBorder="1" applyAlignment="1">
      <alignment vertical="center" wrapText="1"/>
    </xf>
    <xf numFmtId="44" fontId="7" fillId="3" borderId="12" xfId="0" applyNumberFormat="1" applyFont="1" applyFill="1" applyBorder="1" applyAlignment="1">
      <alignment vertical="center" wrapText="1"/>
    </xf>
    <xf numFmtId="0" fontId="11" fillId="0" borderId="7" xfId="0" applyFont="1" applyBorder="1" applyAlignment="1">
      <alignment horizontal="left" vertical="center" wrapText="1"/>
    </xf>
    <xf numFmtId="44" fontId="10" fillId="3" borderId="11" xfId="0" applyNumberFormat="1" applyFont="1" applyFill="1" applyBorder="1" applyAlignment="1">
      <alignment vertical="center" wrapText="1"/>
    </xf>
    <xf numFmtId="0" fontId="14" fillId="0" borderId="0" xfId="0" applyFont="1"/>
    <xf numFmtId="44" fontId="7" fillId="3" borderId="16" xfId="0" applyNumberFormat="1" applyFont="1" applyFill="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7" fillId="0" borderId="0" xfId="0" applyFont="1" applyAlignment="1">
      <alignment horizontal="left" vertical="center" wrapText="1"/>
    </xf>
    <xf numFmtId="0" fontId="1" fillId="0" borderId="0" xfId="0" applyFont="1" applyAlignment="1">
      <alignment horizontal="right" vertical="center" wrapText="1"/>
    </xf>
    <xf numFmtId="0" fontId="2" fillId="2" borderId="0" xfId="0" applyFont="1" applyFill="1" applyAlignment="1">
      <alignment horizontal="left" wrapText="1"/>
    </xf>
    <xf numFmtId="0" fontId="7" fillId="2" borderId="0" xfId="0" applyFont="1" applyFill="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right" vertical="center" wrapText="1"/>
    </xf>
    <xf numFmtId="0" fontId="2" fillId="2" borderId="0" xfId="0" applyFont="1" applyFill="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center" wrapText="1"/>
    </xf>
    <xf numFmtId="6" fontId="4" fillId="0" borderId="2" xfId="0" applyNumberFormat="1" applyFont="1" applyBorder="1" applyAlignment="1">
      <alignment horizontal="center" vertical="top" wrapText="1"/>
    </xf>
    <xf numFmtId="6" fontId="4" fillId="0" borderId="3" xfId="0" applyNumberFormat="1" applyFont="1" applyBorder="1" applyAlignment="1">
      <alignment horizontal="center" vertical="top" wrapText="1"/>
    </xf>
    <xf numFmtId="0" fontId="0" fillId="2" borderId="0" xfId="0" applyFont="1" applyFill="1" applyAlignment="1">
      <alignment horizontal="left" wrapText="1"/>
    </xf>
    <xf numFmtId="0" fontId="1" fillId="0" borderId="0" xfId="0" applyFont="1" applyAlignment="1">
      <alignment horizontal="center" vertical="center" wrapText="1"/>
    </xf>
    <xf numFmtId="0" fontId="2" fillId="2" borderId="0" xfId="0" applyFont="1" applyFill="1" applyAlignment="1">
      <alignment horizontal="left" vertical="center" wrapText="1"/>
    </xf>
    <xf numFmtId="0" fontId="0" fillId="2"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34"/>
  <sheetViews>
    <sheetView topLeftCell="A16" zoomScaleNormal="100" workbookViewId="0">
      <selection activeCell="A31" sqref="A31"/>
    </sheetView>
  </sheetViews>
  <sheetFormatPr defaultRowHeight="15"/>
  <cols>
    <col min="1" max="1" width="57" customWidth="1"/>
    <col min="2" max="2" width="36.42578125" customWidth="1"/>
    <col min="3" max="3" width="39.140625" customWidth="1"/>
  </cols>
  <sheetData>
    <row r="1" spans="1:3" ht="93" customHeight="1" thickTop="1" thickBot="1">
      <c r="A1" s="53" t="s">
        <v>57</v>
      </c>
      <c r="B1" s="54"/>
      <c r="C1" s="55"/>
    </row>
    <row r="2" spans="1:3" ht="16.5" thickBot="1">
      <c r="A2" s="56" t="s">
        <v>143</v>
      </c>
      <c r="B2" s="57"/>
      <c r="C2" s="58"/>
    </row>
    <row r="3" spans="1:3" ht="15.75" thickBot="1">
      <c r="A3" s="59"/>
      <c r="B3" s="60"/>
      <c r="C3" s="61"/>
    </row>
    <row r="4" spans="1:3" ht="26.25" thickBot="1">
      <c r="A4" s="29" t="s">
        <v>58</v>
      </c>
      <c r="B4" s="30" t="s">
        <v>59</v>
      </c>
      <c r="C4" s="30" t="s">
        <v>60</v>
      </c>
    </row>
    <row r="5" spans="1:3" ht="15.75" thickBot="1">
      <c r="A5" s="31"/>
      <c r="B5" s="50"/>
      <c r="C5" s="50"/>
    </row>
    <row r="6" spans="1:3" ht="15.75" thickBot="1">
      <c r="A6" s="31"/>
      <c r="B6" s="50"/>
      <c r="C6" s="50"/>
    </row>
    <row r="7" spans="1:3" ht="15.75" thickBot="1">
      <c r="A7" s="31"/>
      <c r="B7" s="50"/>
      <c r="C7" s="50"/>
    </row>
    <row r="8" spans="1:3" ht="15.75" thickBot="1">
      <c r="A8" s="31"/>
      <c r="B8" s="50"/>
      <c r="C8" s="50"/>
    </row>
    <row r="9" spans="1:3" ht="15.75" thickBot="1">
      <c r="A9" s="31"/>
      <c r="B9" s="50"/>
      <c r="C9" s="50"/>
    </row>
    <row r="10" spans="1:3" ht="15.75" thickBot="1">
      <c r="A10" s="31"/>
      <c r="B10" s="50"/>
      <c r="C10" s="50"/>
    </row>
    <row r="11" spans="1:3" ht="15.75" thickBot="1">
      <c r="A11" s="31"/>
      <c r="B11" s="50"/>
      <c r="C11" s="50"/>
    </row>
    <row r="12" spans="1:3" ht="15.75" thickBot="1">
      <c r="A12" s="31"/>
      <c r="B12" s="50"/>
      <c r="C12" s="50"/>
    </row>
    <row r="13" spans="1:3" ht="15.75" thickBot="1">
      <c r="A13" s="31"/>
      <c r="B13" s="50"/>
      <c r="C13" s="50"/>
    </row>
    <row r="14" spans="1:3" ht="15.75" thickBot="1">
      <c r="A14" s="32" t="s">
        <v>61</v>
      </c>
      <c r="B14" s="50"/>
      <c r="C14" s="50"/>
    </row>
    <row r="15" spans="1:3" ht="15.75" thickBot="1">
      <c r="A15" s="32" t="s">
        <v>62</v>
      </c>
      <c r="B15" s="45">
        <v>0</v>
      </c>
      <c r="C15" s="45">
        <v>0</v>
      </c>
    </row>
    <row r="16" spans="1:3" ht="15.75" thickBot="1">
      <c r="A16" s="33"/>
      <c r="B16" s="34"/>
      <c r="C16" s="34"/>
    </row>
    <row r="17" spans="1:3" ht="15.75" thickBot="1">
      <c r="A17" s="33"/>
      <c r="B17" s="35"/>
      <c r="C17" s="34"/>
    </row>
    <row r="18" spans="1:3" ht="15.75" thickBot="1">
      <c r="A18" s="49" t="s">
        <v>63</v>
      </c>
      <c r="B18" s="35"/>
      <c r="C18" s="34"/>
    </row>
    <row r="19" spans="1:3" ht="15.75" thickBot="1">
      <c r="A19" s="46" t="s">
        <v>126</v>
      </c>
      <c r="B19" s="47">
        <f>'Anchor Agency (3)'!E17</f>
        <v>288915</v>
      </c>
      <c r="C19" s="48">
        <f>B19+'Anchor Agency (3)'!I17</f>
        <v>1209761</v>
      </c>
    </row>
    <row r="20" spans="1:3" ht="15.75" thickBot="1">
      <c r="A20" s="46" t="s">
        <v>129</v>
      </c>
      <c r="B20" s="47">
        <f>'Support Services Partners'!E9</f>
        <v>27000</v>
      </c>
      <c r="C20" s="48">
        <f>B20+'Support Services Partners'!I9</f>
        <v>112958</v>
      </c>
    </row>
    <row r="21" spans="1:3" ht="15.75" thickBot="1">
      <c r="A21" s="46" t="s">
        <v>127</v>
      </c>
      <c r="B21" s="47">
        <f>'Anchor Agency (3)'!E17</f>
        <v>288915</v>
      </c>
      <c r="C21" s="48">
        <f>B21+'Anchor Agency (3)'!I17</f>
        <v>1209761</v>
      </c>
    </row>
    <row r="22" spans="1:3" ht="15.75" thickBot="1">
      <c r="A22" s="46" t="s">
        <v>131</v>
      </c>
      <c r="B22" s="47">
        <f>'Support Services Partners'!E6+'Support Services Partners'!E7</f>
        <v>27000</v>
      </c>
      <c r="C22" s="48">
        <f>B22+'Support Services Partners'!I6+'Support Services Partners'!I7</f>
        <v>112958</v>
      </c>
    </row>
    <row r="23" spans="1:3" ht="15.75" thickBot="1">
      <c r="A23" s="46" t="s">
        <v>128</v>
      </c>
      <c r="B23" s="47">
        <f>'Anchor Agency (3)'!E17</f>
        <v>288915</v>
      </c>
      <c r="C23" s="48">
        <f>B23+'Anchor Agency (3)'!I17</f>
        <v>1209761</v>
      </c>
    </row>
    <row r="24" spans="1:3" ht="15.75" thickBot="1">
      <c r="A24" s="46" t="s">
        <v>130</v>
      </c>
      <c r="B24" s="47">
        <f>'Support Services Partners'!E10</f>
        <v>27000</v>
      </c>
      <c r="C24" s="48">
        <f>B24+'Support Services Partners'!I10</f>
        <v>112958</v>
      </c>
    </row>
    <row r="25" spans="1:3" ht="15.75" thickBot="1">
      <c r="A25" s="46" t="s">
        <v>36</v>
      </c>
      <c r="B25" s="47">
        <f>'Support Services Partners'!E5</f>
        <v>27000</v>
      </c>
      <c r="C25" s="48">
        <f>B25+'Support Services Partners'!I5</f>
        <v>112958</v>
      </c>
    </row>
    <row r="26" spans="1:3" ht="15.75" thickBot="1">
      <c r="A26" s="46" t="s">
        <v>132</v>
      </c>
      <c r="B26" s="47">
        <f>'Support Services Partners'!E8</f>
        <v>27000</v>
      </c>
      <c r="C26" s="48">
        <f>B26+'Support Services Partners'!I8</f>
        <v>112958</v>
      </c>
    </row>
    <row r="27" spans="1:3" ht="15.75" thickBot="1">
      <c r="A27" s="46" t="s">
        <v>133</v>
      </c>
      <c r="B27" s="47">
        <f>'MC2 and OTG'!E9</f>
        <v>147950</v>
      </c>
      <c r="C27" s="48">
        <f>B27+'MC2 and OTG'!I9</f>
        <v>637684</v>
      </c>
    </row>
    <row r="28" spans="1:3" ht="15.75" thickBot="1">
      <c r="A28" s="46" t="s">
        <v>134</v>
      </c>
      <c r="B28" s="47">
        <f>'MC2 and OTG'!E27</f>
        <v>146581</v>
      </c>
      <c r="C28" s="48">
        <f>B28+'MC2 and OTG'!I27</f>
        <v>582806</v>
      </c>
    </row>
    <row r="29" spans="1:3" ht="15.75" thickBot="1">
      <c r="A29" s="46" t="s">
        <v>135</v>
      </c>
      <c r="B29" s="47">
        <f>'BTS and C3'!E10</f>
        <v>128916</v>
      </c>
      <c r="C29" s="48">
        <f>B29+'BTS and C3'!I10</f>
        <v>555546</v>
      </c>
    </row>
    <row r="30" spans="1:3" ht="15.75" thickBot="1">
      <c r="A30" s="46" t="s">
        <v>155</v>
      </c>
      <c r="B30" s="47">
        <f>'BTS and C3'!E27</f>
        <v>201367</v>
      </c>
      <c r="C30" s="48">
        <f>B30+'BTS and C3'!I27</f>
        <v>772292</v>
      </c>
    </row>
    <row r="31" spans="1:3" ht="15.75" thickBot="1">
      <c r="A31" s="46" t="s">
        <v>154</v>
      </c>
      <c r="B31" s="47">
        <f>ROUND((SUM(B19:B30)*0.05),0)</f>
        <v>81328</v>
      </c>
      <c r="C31" s="52">
        <f>B31+ROUND((SUM(C19:C30)*0.05),0)</f>
        <v>418448</v>
      </c>
    </row>
    <row r="32" spans="1:3" ht="15.75" thickBot="1">
      <c r="A32" s="32" t="s">
        <v>64</v>
      </c>
      <c r="B32" s="45">
        <f>SUM(B19:B31)</f>
        <v>1707887</v>
      </c>
      <c r="C32" s="45">
        <f>SUM(C19:C31)</f>
        <v>7160849</v>
      </c>
    </row>
    <row r="33" spans="1:3" ht="15.75" thickBot="1">
      <c r="A33" s="33"/>
      <c r="B33" s="35"/>
      <c r="C33" s="34"/>
    </row>
    <row r="34" spans="1:3" ht="15.75" thickBot="1">
      <c r="A34" s="32" t="s">
        <v>65</v>
      </c>
      <c r="B34" s="45">
        <f>B32+B15</f>
        <v>1707887</v>
      </c>
      <c r="C34" s="45">
        <f>C15+C32</f>
        <v>7160849</v>
      </c>
    </row>
  </sheetData>
  <mergeCells count="3">
    <mergeCell ref="A1:C1"/>
    <mergeCell ref="A2:C2"/>
    <mergeCell ref="A3:C3"/>
  </mergeCells>
  <pageMargins left="0.45" right="0.45" top="0.5" bottom="0.5" header="0.3" footer="0.3"/>
  <pageSetup scale="76" orientation="landscape" horizontalDpi="0" verticalDpi="0" r:id="rId1"/>
  <ignoredErrors>
    <ignoredError sqref="C20 C22" formula="1"/>
  </ignoredErrors>
</worksheet>
</file>

<file path=xl/worksheets/sheet2.xml><?xml version="1.0" encoding="utf-8"?>
<worksheet xmlns="http://schemas.openxmlformats.org/spreadsheetml/2006/main" xmlns:r="http://schemas.openxmlformats.org/officeDocument/2006/relationships">
  <dimension ref="A1:A3"/>
  <sheetViews>
    <sheetView tabSelected="1" topLeftCell="A2" workbookViewId="0">
      <selection activeCell="C2" sqref="C2"/>
    </sheetView>
  </sheetViews>
  <sheetFormatPr defaultRowHeight="15"/>
  <cols>
    <col min="1" max="1" width="151.28515625" customWidth="1"/>
  </cols>
  <sheetData>
    <row r="1" spans="1:1" s="51" customFormat="1" ht="15.75">
      <c r="A1" s="51" t="s">
        <v>144</v>
      </c>
    </row>
    <row r="2" spans="1:1" ht="282" customHeight="1">
      <c r="A2" s="10" t="s">
        <v>156</v>
      </c>
    </row>
    <row r="3" spans="1:1">
      <c r="A3" s="1"/>
    </row>
  </sheetData>
  <pageMargins left="0.45" right="0.45" top="0.5" bottom="0.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sheetPr>
    <pageSetUpPr fitToPage="1"/>
  </sheetPr>
  <dimension ref="A1:L42"/>
  <sheetViews>
    <sheetView view="pageLayout" topLeftCell="A10" zoomScaleNormal="100" workbookViewId="0">
      <selection activeCell="D15" sqref="D15"/>
    </sheetView>
  </sheetViews>
  <sheetFormatPr defaultRowHeight="15"/>
  <cols>
    <col min="1" max="1" width="30.5703125" customWidth="1"/>
    <col min="2" max="2" width="19.85546875" customWidth="1"/>
    <col min="3" max="3" width="8" customWidth="1"/>
    <col min="4" max="4" width="12.85546875" customWidth="1"/>
    <col min="5" max="8" width="14.28515625" bestFit="1" customWidth="1"/>
    <col min="9" max="9" width="14" customWidth="1"/>
    <col min="10" max="10" width="16.28515625" customWidth="1"/>
    <col min="12" max="12" width="15.140625" customWidth="1"/>
  </cols>
  <sheetData>
    <row r="1" spans="1:12" ht="21" customHeight="1">
      <c r="A1" s="64" t="s">
        <v>75</v>
      </c>
      <c r="B1" s="64"/>
      <c r="C1" s="64"/>
      <c r="D1" s="64"/>
      <c r="E1" s="64"/>
      <c r="F1" s="64"/>
      <c r="G1" s="64"/>
      <c r="H1" s="64"/>
      <c r="I1" s="64"/>
      <c r="J1" s="64"/>
      <c r="K1" s="64"/>
      <c r="L1" s="64"/>
    </row>
    <row r="2" spans="1:12" ht="46.5" customHeight="1">
      <c r="A2" s="65" t="s">
        <v>136</v>
      </c>
      <c r="B2" s="65"/>
      <c r="C2" s="65"/>
      <c r="D2" s="65"/>
      <c r="E2" s="65"/>
      <c r="F2" s="65"/>
      <c r="G2" s="65"/>
      <c r="H2" s="65"/>
      <c r="I2" s="65"/>
      <c r="J2" s="65"/>
      <c r="K2" s="65"/>
      <c r="L2" s="65"/>
    </row>
    <row r="3" spans="1:12" ht="30" customHeight="1">
      <c r="A3" s="28" t="s">
        <v>48</v>
      </c>
      <c r="B3" s="65" t="s">
        <v>50</v>
      </c>
      <c r="C3" s="65"/>
      <c r="D3" s="65"/>
      <c r="E3" s="65"/>
      <c r="F3" s="65"/>
      <c r="G3" s="65"/>
      <c r="H3" s="65"/>
      <c r="I3" s="65"/>
      <c r="J3" s="65"/>
      <c r="K3" s="65"/>
      <c r="L3" s="65"/>
    </row>
    <row r="4" spans="1:12" ht="24.95" customHeight="1">
      <c r="A4" s="20">
        <v>0.05</v>
      </c>
      <c r="B4" s="65" t="s">
        <v>34</v>
      </c>
      <c r="C4" s="65"/>
      <c r="D4" s="65"/>
      <c r="E4" s="65"/>
      <c r="F4" s="65"/>
      <c r="G4" s="65"/>
      <c r="H4" s="65"/>
      <c r="I4" s="65"/>
      <c r="J4" s="65"/>
      <c r="K4" s="65"/>
      <c r="L4" s="65"/>
    </row>
    <row r="5" spans="1:12" ht="24.95" customHeight="1">
      <c r="A5" s="20">
        <v>0.03</v>
      </c>
      <c r="B5" s="65" t="s">
        <v>35</v>
      </c>
      <c r="C5" s="65"/>
      <c r="D5" s="65"/>
      <c r="E5" s="65"/>
      <c r="F5" s="65"/>
      <c r="G5" s="65"/>
      <c r="H5" s="65"/>
      <c r="I5" s="65"/>
      <c r="J5" s="65"/>
      <c r="K5" s="65"/>
      <c r="L5" s="65"/>
    </row>
    <row r="6" spans="1:12" s="14" customFormat="1" ht="27" customHeight="1">
      <c r="A6" s="12" t="s">
        <v>79</v>
      </c>
      <c r="B6" s="12" t="s">
        <v>1</v>
      </c>
      <c r="C6" s="12" t="s">
        <v>2</v>
      </c>
      <c r="D6" s="13" t="s">
        <v>31</v>
      </c>
      <c r="E6" s="40" t="s">
        <v>3</v>
      </c>
      <c r="F6" s="40" t="s">
        <v>4</v>
      </c>
      <c r="G6" s="40" t="s">
        <v>5</v>
      </c>
      <c r="H6" s="40" t="s">
        <v>6</v>
      </c>
      <c r="I6" s="18" t="s">
        <v>123</v>
      </c>
      <c r="J6" s="66" t="s">
        <v>33</v>
      </c>
      <c r="K6" s="66"/>
      <c r="L6" s="66"/>
    </row>
    <row r="7" spans="1:12" s="3" customFormat="1" ht="36.75" customHeight="1">
      <c r="A7" s="15" t="s">
        <v>45</v>
      </c>
      <c r="B7" s="15" t="s">
        <v>44</v>
      </c>
      <c r="C7" s="22">
        <v>1</v>
      </c>
      <c r="D7" s="25">
        <f>50000*1.25</f>
        <v>62500</v>
      </c>
      <c r="E7" s="17">
        <f>(C7*D7)</f>
        <v>62500</v>
      </c>
      <c r="F7" s="17">
        <f>E7+(E7*A4)</f>
        <v>65625</v>
      </c>
      <c r="G7" s="17">
        <f>F7+(F7*A4)</f>
        <v>68906.25</v>
      </c>
      <c r="H7" s="23">
        <f>G7+(G7*A4)</f>
        <v>72351.5625</v>
      </c>
      <c r="I7" s="23">
        <f t="shared" ref="I7:I17" si="0">ROUND(SUM(F7:H7),0)</f>
        <v>206883</v>
      </c>
      <c r="J7" s="62" t="s">
        <v>49</v>
      </c>
      <c r="K7" s="62"/>
      <c r="L7" s="62"/>
    </row>
    <row r="8" spans="1:12" ht="75.75" customHeight="1">
      <c r="A8" s="15" t="s">
        <v>53</v>
      </c>
      <c r="B8" s="15" t="s">
        <v>44</v>
      </c>
      <c r="C8" s="22">
        <v>1</v>
      </c>
      <c r="D8" s="25">
        <f>55000*1.25</f>
        <v>68750</v>
      </c>
      <c r="E8" s="17">
        <f>(C8*D8)</f>
        <v>68750</v>
      </c>
      <c r="F8" s="17">
        <f>E8+(E8*A4)</f>
        <v>72187.5</v>
      </c>
      <c r="G8" s="17">
        <f>F8+(F8*A4)</f>
        <v>75796.875</v>
      </c>
      <c r="H8" s="23">
        <f>G8+(G8*A4)</f>
        <v>79586.71875</v>
      </c>
      <c r="I8" s="23">
        <f t="shared" si="0"/>
        <v>227571</v>
      </c>
      <c r="J8" s="62" t="s">
        <v>52</v>
      </c>
      <c r="K8" s="62"/>
      <c r="L8" s="62"/>
    </row>
    <row r="9" spans="1:12" ht="42" customHeight="1">
      <c r="A9" s="15" t="s">
        <v>78</v>
      </c>
      <c r="B9" s="15" t="s">
        <v>44</v>
      </c>
      <c r="C9" s="22">
        <v>1</v>
      </c>
      <c r="D9" s="25">
        <f>60000*1.25</f>
        <v>75000</v>
      </c>
      <c r="E9" s="17">
        <f>(C9*D9)</f>
        <v>75000</v>
      </c>
      <c r="F9" s="17">
        <f>E9+(E9*A4)</f>
        <v>78750</v>
      </c>
      <c r="G9" s="17">
        <f>F9+(F9*A4)</f>
        <v>82687.5</v>
      </c>
      <c r="H9" s="23">
        <f>G9+(G9*A4)</f>
        <v>86821.875</v>
      </c>
      <c r="I9" s="23">
        <f t="shared" si="0"/>
        <v>248259</v>
      </c>
      <c r="J9" s="62" t="s">
        <v>51</v>
      </c>
      <c r="K9" s="62"/>
      <c r="L9" s="62"/>
    </row>
    <row r="10" spans="1:12" ht="53.25" customHeight="1">
      <c r="A10" s="37" t="s">
        <v>71</v>
      </c>
      <c r="B10" s="37" t="s">
        <v>70</v>
      </c>
      <c r="C10" s="36">
        <v>10</v>
      </c>
      <c r="D10" s="39">
        <f>200*3</f>
        <v>600</v>
      </c>
      <c r="E10" s="41">
        <f>(C10*D10)*3</f>
        <v>18000</v>
      </c>
      <c r="F10" s="41">
        <f>E10+(E10*A4)</f>
        <v>18900</v>
      </c>
      <c r="G10" s="41">
        <f>F10+(F10*A4)</f>
        <v>19845</v>
      </c>
      <c r="H10" s="41">
        <f>G10+(G10*A4)</f>
        <v>20837.25</v>
      </c>
      <c r="I10" s="43">
        <f t="shared" si="0"/>
        <v>59582</v>
      </c>
      <c r="J10" s="62" t="s">
        <v>106</v>
      </c>
      <c r="K10" s="62"/>
      <c r="L10" s="62"/>
    </row>
    <row r="11" spans="1:12" ht="39.950000000000003" customHeight="1">
      <c r="A11" s="15" t="s">
        <v>54</v>
      </c>
      <c r="B11" s="16" t="s">
        <v>13</v>
      </c>
      <c r="C11" s="22">
        <v>12</v>
      </c>
      <c r="D11" s="17">
        <v>300</v>
      </c>
      <c r="E11" s="17">
        <f>D11*C11</f>
        <v>3600</v>
      </c>
      <c r="F11" s="17">
        <f>E11+(E11*A5)</f>
        <v>3708</v>
      </c>
      <c r="G11" s="17">
        <f>F11+(F11*A5)</f>
        <v>3819.24</v>
      </c>
      <c r="H11" s="17">
        <f>G11+(G11*A5)</f>
        <v>3933.8172</v>
      </c>
      <c r="I11" s="23">
        <f t="shared" si="0"/>
        <v>11461</v>
      </c>
      <c r="J11" s="62" t="s">
        <v>74</v>
      </c>
      <c r="K11" s="62"/>
      <c r="L11" s="62"/>
    </row>
    <row r="12" spans="1:12" ht="39.950000000000003" customHeight="1">
      <c r="A12" s="15" t="s">
        <v>55</v>
      </c>
      <c r="B12" s="16" t="s">
        <v>13</v>
      </c>
      <c r="C12" s="22">
        <v>12</v>
      </c>
      <c r="D12" s="17">
        <v>200</v>
      </c>
      <c r="E12" s="17">
        <f>D12*C12</f>
        <v>2400</v>
      </c>
      <c r="F12" s="17">
        <f>E12+(E12*A5)</f>
        <v>2472</v>
      </c>
      <c r="G12" s="17">
        <f>F12+(F12*A5)</f>
        <v>2546.16</v>
      </c>
      <c r="H12" s="17">
        <f>G12+(G12*A5)</f>
        <v>2622.5447999999997</v>
      </c>
      <c r="I12" s="23">
        <f t="shared" si="0"/>
        <v>7641</v>
      </c>
      <c r="J12" s="62" t="s">
        <v>56</v>
      </c>
      <c r="K12" s="62"/>
      <c r="L12" s="62"/>
    </row>
    <row r="13" spans="1:12" ht="39.950000000000003" customHeight="1">
      <c r="A13" s="15" t="s">
        <v>73</v>
      </c>
      <c r="B13" s="16" t="s">
        <v>40</v>
      </c>
      <c r="C13" s="22">
        <v>12</v>
      </c>
      <c r="D13" s="17">
        <v>1000</v>
      </c>
      <c r="E13" s="17">
        <f>D13*C13</f>
        <v>12000</v>
      </c>
      <c r="F13" s="17">
        <f>E13+(E13*A5)</f>
        <v>12360</v>
      </c>
      <c r="G13" s="17">
        <f>F13+(F13*A5)</f>
        <v>12730.8</v>
      </c>
      <c r="H13" s="17">
        <f>G13+(G13*A5)</f>
        <v>13112.723999999998</v>
      </c>
      <c r="I13" s="23">
        <f t="shared" si="0"/>
        <v>38204</v>
      </c>
      <c r="J13" s="62" t="s">
        <v>67</v>
      </c>
      <c r="K13" s="62"/>
      <c r="L13" s="62"/>
    </row>
    <row r="14" spans="1:12" ht="39.950000000000003" customHeight="1">
      <c r="A14" s="37" t="s">
        <v>68</v>
      </c>
      <c r="B14" s="37" t="s">
        <v>13</v>
      </c>
      <c r="C14" s="36">
        <v>12</v>
      </c>
      <c r="D14" s="38">
        <v>200</v>
      </c>
      <c r="E14" s="38">
        <f>D14*C14</f>
        <v>2400</v>
      </c>
      <c r="F14" s="23">
        <f>E14+(E14*A5)</f>
        <v>2472</v>
      </c>
      <c r="G14" s="23">
        <f>F14+(F14*A5)</f>
        <v>2546.16</v>
      </c>
      <c r="H14" s="23">
        <f>G14+(G14*A5)</f>
        <v>2622.5447999999997</v>
      </c>
      <c r="I14" s="23">
        <f t="shared" si="0"/>
        <v>7641</v>
      </c>
      <c r="J14" s="62" t="s">
        <v>72</v>
      </c>
      <c r="K14" s="62"/>
      <c r="L14" s="62"/>
    </row>
    <row r="15" spans="1:12" ht="54" customHeight="1">
      <c r="A15" s="15" t="s">
        <v>66</v>
      </c>
      <c r="B15" s="16" t="s">
        <v>40</v>
      </c>
      <c r="C15" s="22">
        <v>12</v>
      </c>
      <c r="D15" s="17">
        <v>1500</v>
      </c>
      <c r="E15" s="17">
        <f>D15*C15</f>
        <v>18000</v>
      </c>
      <c r="F15" s="17">
        <f>E15+(E15*A5)</f>
        <v>18540</v>
      </c>
      <c r="G15" s="17">
        <f>F15+(F15*A5)</f>
        <v>19096.2</v>
      </c>
      <c r="H15" s="17">
        <f>G15+(G15*A5)</f>
        <v>19669.085999999999</v>
      </c>
      <c r="I15" s="23">
        <f t="shared" si="0"/>
        <v>57305</v>
      </c>
      <c r="J15" s="62" t="s">
        <v>145</v>
      </c>
      <c r="K15" s="62"/>
      <c r="L15" s="62"/>
    </row>
    <row r="16" spans="1:12" ht="42" customHeight="1">
      <c r="A16" s="67" t="s">
        <v>105</v>
      </c>
      <c r="B16" s="67"/>
      <c r="C16" s="67"/>
      <c r="D16" s="67"/>
      <c r="E16" s="17">
        <f>0.1*(SUM(E7:E15))</f>
        <v>26265</v>
      </c>
      <c r="F16" s="17">
        <f t="shared" ref="F16:H16" si="1">0.1*(SUM(F7:F15))</f>
        <v>27501.45</v>
      </c>
      <c r="G16" s="17">
        <f t="shared" si="1"/>
        <v>28797.4185</v>
      </c>
      <c r="H16" s="17">
        <f t="shared" si="1"/>
        <v>30155.812304999996</v>
      </c>
      <c r="I16" s="23">
        <f t="shared" si="0"/>
        <v>86455</v>
      </c>
      <c r="J16" s="15"/>
      <c r="K16" s="15"/>
      <c r="L16" s="15"/>
    </row>
    <row r="17" spans="1:12" ht="15" customHeight="1">
      <c r="A17" s="63" t="s">
        <v>43</v>
      </c>
      <c r="B17" s="63"/>
      <c r="C17" s="63"/>
      <c r="D17" s="63"/>
      <c r="E17" s="26">
        <f>ROUND(SUM(E7:E16),0)</f>
        <v>288915</v>
      </c>
      <c r="F17" s="26">
        <f>ROUND(SUM(F7:F16),0)</f>
        <v>302516</v>
      </c>
      <c r="G17" s="26">
        <f>ROUND(SUM(G7:G16),0)</f>
        <v>316772</v>
      </c>
      <c r="H17" s="27">
        <f>ROUND(SUM(H7:H15),0)</f>
        <v>301558</v>
      </c>
      <c r="I17" s="27">
        <f t="shared" si="0"/>
        <v>920846</v>
      </c>
      <c r="J17" s="13"/>
      <c r="K17" s="4"/>
      <c r="L17" s="4"/>
    </row>
    <row r="18" spans="1:12" ht="15" customHeight="1">
      <c r="A18" s="15"/>
      <c r="B18" s="16"/>
      <c r="C18" s="16"/>
      <c r="D18" s="16"/>
      <c r="E18" s="17"/>
      <c r="F18" s="17"/>
      <c r="G18" s="17"/>
      <c r="H18" s="24"/>
      <c r="I18" s="24"/>
      <c r="J18" s="15"/>
    </row>
    <row r="19" spans="1:12">
      <c r="A19" s="15"/>
      <c r="B19" s="16"/>
      <c r="C19" s="16"/>
      <c r="D19" s="16"/>
      <c r="E19" s="17"/>
      <c r="F19" s="17"/>
      <c r="G19" s="17"/>
      <c r="H19" s="24"/>
      <c r="I19" s="24"/>
      <c r="J19" s="15"/>
    </row>
    <row r="20" spans="1:12">
      <c r="A20" s="15"/>
      <c r="B20" s="16"/>
      <c r="C20" s="16"/>
      <c r="D20" s="16"/>
      <c r="E20" s="17"/>
      <c r="F20" s="17"/>
      <c r="G20" s="17"/>
      <c r="H20" s="24"/>
      <c r="I20" s="24"/>
      <c r="J20" s="15"/>
    </row>
    <row r="21" spans="1:12">
      <c r="A21" s="15"/>
      <c r="B21" s="16"/>
      <c r="C21" s="16"/>
      <c r="D21" s="16"/>
      <c r="E21" s="17"/>
      <c r="F21" s="17"/>
      <c r="G21" s="17"/>
      <c r="H21" s="24"/>
      <c r="I21" s="24"/>
      <c r="J21" s="15"/>
    </row>
    <row r="22" spans="1:12">
      <c r="A22" s="15"/>
      <c r="B22" s="16"/>
      <c r="C22" s="16"/>
      <c r="D22" s="16"/>
      <c r="E22" s="17"/>
      <c r="F22" s="17"/>
      <c r="G22" s="17"/>
      <c r="J22" s="15"/>
    </row>
    <row r="23" spans="1:12">
      <c r="A23" s="15"/>
      <c r="B23" s="16"/>
      <c r="C23" s="16"/>
      <c r="D23" s="16"/>
      <c r="E23" s="17"/>
      <c r="F23" s="17"/>
      <c r="G23" s="17"/>
      <c r="J23" s="15"/>
    </row>
    <row r="24" spans="1:12">
      <c r="A24" s="15"/>
      <c r="B24" s="16"/>
      <c r="C24" s="16"/>
      <c r="D24" s="16"/>
      <c r="E24" s="17"/>
      <c r="F24" s="17"/>
      <c r="G24" s="17"/>
      <c r="J24" s="15"/>
    </row>
    <row r="25" spans="1:12">
      <c r="A25" s="15"/>
      <c r="B25" s="16"/>
      <c r="C25" s="16"/>
      <c r="D25" s="16"/>
      <c r="E25" s="17"/>
      <c r="F25" s="17"/>
      <c r="G25" s="17"/>
      <c r="J25" s="15"/>
    </row>
    <row r="26" spans="1:12">
      <c r="A26" s="15"/>
      <c r="B26" s="16"/>
      <c r="C26" s="16"/>
      <c r="D26" s="16"/>
      <c r="E26" s="17"/>
      <c r="F26" s="17"/>
      <c r="G26" s="17"/>
      <c r="J26" s="15"/>
    </row>
    <row r="27" spans="1:12">
      <c r="A27" s="15"/>
      <c r="B27" s="16"/>
      <c r="C27" s="16"/>
      <c r="D27" s="16"/>
      <c r="E27" s="17"/>
      <c r="F27" s="17"/>
      <c r="G27" s="17"/>
      <c r="J27" s="15"/>
    </row>
    <row r="28" spans="1:12">
      <c r="A28" s="15"/>
      <c r="B28" s="16"/>
      <c r="C28" s="16"/>
      <c r="D28" s="16"/>
      <c r="E28" s="17"/>
      <c r="F28" s="17"/>
      <c r="G28" s="17"/>
      <c r="J28" s="15"/>
    </row>
    <row r="29" spans="1:12">
      <c r="A29" s="15"/>
      <c r="B29" s="16"/>
      <c r="C29" s="16"/>
      <c r="D29" s="16"/>
      <c r="E29" s="17"/>
      <c r="F29" s="17"/>
      <c r="G29" s="17"/>
    </row>
    <row r="30" spans="1:12">
      <c r="A30" s="15"/>
      <c r="B30" s="16"/>
      <c r="C30" s="16"/>
      <c r="D30" s="16"/>
      <c r="E30" s="17"/>
      <c r="F30" s="17"/>
      <c r="G30" s="17"/>
    </row>
    <row r="31" spans="1:12">
      <c r="A31" s="15"/>
      <c r="B31" s="16"/>
      <c r="C31" s="16"/>
      <c r="D31" s="16"/>
      <c r="E31" s="17"/>
      <c r="F31" s="17"/>
      <c r="G31" s="17"/>
    </row>
    <row r="32" spans="1:12">
      <c r="A32" s="15"/>
      <c r="B32" s="16"/>
      <c r="C32" s="16"/>
      <c r="D32" s="16"/>
      <c r="E32" s="17"/>
      <c r="F32" s="17"/>
      <c r="G32" s="17"/>
    </row>
    <row r="33" spans="1:7">
      <c r="A33" s="15"/>
      <c r="B33" s="16"/>
      <c r="C33" s="16"/>
      <c r="D33" s="16"/>
      <c r="E33" s="17"/>
      <c r="F33" s="17"/>
      <c r="G33" s="17"/>
    </row>
    <row r="34" spans="1:7">
      <c r="A34" s="15"/>
      <c r="B34" s="16"/>
      <c r="C34" s="16"/>
      <c r="D34" s="16"/>
      <c r="E34" s="17"/>
      <c r="F34" s="17"/>
      <c r="G34" s="17"/>
    </row>
    <row r="35" spans="1:7">
      <c r="A35" s="15"/>
      <c r="B35" s="16"/>
      <c r="C35" s="16"/>
      <c r="D35" s="16"/>
      <c r="E35" s="17"/>
      <c r="F35" s="17"/>
      <c r="G35" s="17"/>
    </row>
    <row r="36" spans="1:7">
      <c r="A36" s="15"/>
      <c r="B36" s="16"/>
      <c r="C36" s="16"/>
      <c r="D36" s="16"/>
      <c r="E36" s="17"/>
      <c r="F36" s="17"/>
      <c r="G36" s="17"/>
    </row>
    <row r="37" spans="1:7">
      <c r="A37" s="15"/>
      <c r="B37" s="16"/>
      <c r="C37" s="16"/>
      <c r="D37" s="16"/>
      <c r="E37" s="17"/>
      <c r="F37" s="17"/>
      <c r="G37" s="17"/>
    </row>
    <row r="38" spans="1:7">
      <c r="A38" s="15"/>
      <c r="B38" s="16"/>
      <c r="C38" s="16"/>
      <c r="D38" s="16"/>
      <c r="E38" s="17"/>
      <c r="F38" s="17"/>
      <c r="G38" s="17"/>
    </row>
    <row r="39" spans="1:7">
      <c r="A39" s="15"/>
      <c r="B39" s="16"/>
      <c r="C39" s="16"/>
      <c r="D39" s="16"/>
      <c r="E39" s="17"/>
      <c r="F39" s="17"/>
      <c r="G39" s="17"/>
    </row>
    <row r="40" spans="1:7">
      <c r="A40" s="15"/>
      <c r="B40" s="16"/>
      <c r="C40" s="16"/>
      <c r="D40" s="16"/>
      <c r="E40" s="17"/>
      <c r="F40" s="17"/>
      <c r="G40" s="17"/>
    </row>
    <row r="41" spans="1:7">
      <c r="A41" s="15"/>
      <c r="B41" s="16"/>
      <c r="C41" s="16"/>
      <c r="D41" s="16"/>
      <c r="E41" s="17"/>
      <c r="F41" s="17"/>
      <c r="G41" s="17"/>
    </row>
    <row r="42" spans="1:7">
      <c r="A42" s="15"/>
      <c r="B42" s="16"/>
      <c r="C42" s="16"/>
      <c r="D42" s="16"/>
      <c r="E42" s="17"/>
      <c r="F42" s="17"/>
      <c r="G42" s="17"/>
    </row>
  </sheetData>
  <mergeCells count="17">
    <mergeCell ref="J12:L12"/>
    <mergeCell ref="J13:L13"/>
    <mergeCell ref="A17:D17"/>
    <mergeCell ref="J9:L9"/>
    <mergeCell ref="J15:L15"/>
    <mergeCell ref="A1:L1"/>
    <mergeCell ref="B4:L4"/>
    <mergeCell ref="B5:L5"/>
    <mergeCell ref="J6:L6"/>
    <mergeCell ref="J7:L7"/>
    <mergeCell ref="B3:L3"/>
    <mergeCell ref="J14:L14"/>
    <mergeCell ref="J10:L10"/>
    <mergeCell ref="A2:L2"/>
    <mergeCell ref="A16:D16"/>
    <mergeCell ref="J8:L8"/>
    <mergeCell ref="J11:L11"/>
  </mergeCells>
  <pageMargins left="0.45" right="0.45" top="0.5" bottom="0.5" header="0.3" footer="0.3"/>
  <pageSetup scale="71" orientation="landscape" horizontalDpi="0" verticalDpi="0" r:id="rId1"/>
</worksheet>
</file>

<file path=xl/worksheets/sheet4.xml><?xml version="1.0" encoding="utf-8"?>
<worksheet xmlns="http://schemas.openxmlformats.org/spreadsheetml/2006/main" xmlns:r="http://schemas.openxmlformats.org/officeDocument/2006/relationships">
  <sheetPr>
    <pageSetUpPr fitToPage="1"/>
  </sheetPr>
  <dimension ref="A1:L36"/>
  <sheetViews>
    <sheetView topLeftCell="A2" zoomScaleNormal="100" workbookViewId="0">
      <selection activeCell="J6" sqref="J6:L6"/>
    </sheetView>
  </sheetViews>
  <sheetFormatPr defaultRowHeight="15"/>
  <cols>
    <col min="1" max="1" width="30.5703125" customWidth="1"/>
    <col min="2" max="2" width="18.28515625" customWidth="1"/>
    <col min="3" max="3" width="8" customWidth="1"/>
    <col min="4" max="4" width="12.85546875" customWidth="1"/>
    <col min="5" max="5" width="18" bestFit="1" customWidth="1"/>
    <col min="6" max="6" width="17.5703125" bestFit="1" customWidth="1"/>
    <col min="7" max="7" width="18" bestFit="1" customWidth="1"/>
    <col min="8" max="8" width="17.5703125" bestFit="1" customWidth="1"/>
    <col min="9" max="9" width="14.5703125" customWidth="1"/>
    <col min="10" max="10" width="16.28515625" customWidth="1"/>
    <col min="12" max="12" width="9.140625" customWidth="1"/>
  </cols>
  <sheetData>
    <row r="1" spans="1:12" ht="37.5" customHeight="1">
      <c r="A1" s="68" t="s">
        <v>137</v>
      </c>
      <c r="B1" s="68"/>
      <c r="C1" s="68"/>
      <c r="D1" s="68"/>
      <c r="E1" s="68"/>
      <c r="F1" s="68"/>
      <c r="G1" s="68"/>
      <c r="H1" s="68"/>
      <c r="I1" s="68"/>
      <c r="J1" s="68"/>
      <c r="K1" s="68"/>
      <c r="L1" s="68"/>
    </row>
    <row r="2" spans="1:12" ht="21" customHeight="1">
      <c r="A2" s="21">
        <v>12</v>
      </c>
      <c r="B2" s="65" t="s">
        <v>37</v>
      </c>
      <c r="C2" s="65"/>
      <c r="D2" s="65"/>
      <c r="E2" s="65"/>
      <c r="F2" s="65"/>
      <c r="G2" s="65"/>
      <c r="H2" s="65"/>
      <c r="I2" s="65"/>
      <c r="J2" s="65"/>
      <c r="K2" s="65"/>
      <c r="L2" s="65"/>
    </row>
    <row r="3" spans="1:12" ht="24.95" customHeight="1">
      <c r="A3" s="20">
        <v>0.03</v>
      </c>
      <c r="B3" s="65" t="s">
        <v>35</v>
      </c>
      <c r="C3" s="65"/>
      <c r="D3" s="65"/>
      <c r="E3" s="65"/>
      <c r="F3" s="65"/>
      <c r="G3" s="65"/>
      <c r="H3" s="65"/>
      <c r="I3" s="65"/>
      <c r="J3" s="65"/>
      <c r="K3" s="65"/>
      <c r="L3" s="65"/>
    </row>
    <row r="4" spans="1:12" s="14" customFormat="1" ht="27" customHeight="1">
      <c r="A4" s="12" t="s">
        <v>0</v>
      </c>
      <c r="B4" s="12" t="s">
        <v>1</v>
      </c>
      <c r="C4" s="12" t="s">
        <v>2</v>
      </c>
      <c r="D4" s="13" t="s">
        <v>31</v>
      </c>
      <c r="E4" s="12" t="s">
        <v>3</v>
      </c>
      <c r="F4" s="12" t="s">
        <v>4</v>
      </c>
      <c r="G4" s="12" t="s">
        <v>5</v>
      </c>
      <c r="H4" s="12" t="s">
        <v>6</v>
      </c>
      <c r="I4" s="13" t="s">
        <v>123</v>
      </c>
      <c r="J4" s="66" t="s">
        <v>33</v>
      </c>
      <c r="K4" s="66"/>
      <c r="L4" s="66"/>
    </row>
    <row r="5" spans="1:12" s="3" customFormat="1" ht="42" customHeight="1">
      <c r="A5" s="19" t="s">
        <v>36</v>
      </c>
      <c r="B5" s="16" t="s">
        <v>32</v>
      </c>
      <c r="C5" s="22">
        <v>6</v>
      </c>
      <c r="D5" s="25">
        <f>15*2*3</f>
        <v>90</v>
      </c>
      <c r="E5" s="17">
        <f>(C5*D5)*50</f>
        <v>27000</v>
      </c>
      <c r="F5" s="17">
        <f>E5+(E5*A3)</f>
        <v>27810</v>
      </c>
      <c r="G5" s="17">
        <f>F5+(F5*A3)</f>
        <v>28644.3</v>
      </c>
      <c r="H5" s="23">
        <f>G5+(G5*A3)</f>
        <v>29503.629000000001</v>
      </c>
      <c r="I5" s="23">
        <f t="shared" ref="I5:I11" si="0">ROUND(SUM(F5:H5),0)</f>
        <v>85958</v>
      </c>
      <c r="J5" s="62" t="s">
        <v>41</v>
      </c>
      <c r="K5" s="62"/>
      <c r="L5" s="62"/>
    </row>
    <row r="6" spans="1:12" ht="33.75" customHeight="1">
      <c r="A6" s="42" t="s">
        <v>131</v>
      </c>
      <c r="B6" s="16" t="s">
        <v>13</v>
      </c>
      <c r="C6" s="22">
        <v>5</v>
      </c>
      <c r="D6" s="25">
        <v>100</v>
      </c>
      <c r="E6" s="17">
        <f>(C6*D6)*A2</f>
        <v>6000</v>
      </c>
      <c r="F6" s="17">
        <f>E6+(E6*A3)</f>
        <v>6180</v>
      </c>
      <c r="G6" s="17">
        <f>F6+(F6*A3)</f>
        <v>6365.4</v>
      </c>
      <c r="H6" s="23">
        <f>G6+(G6*A3)</f>
        <v>6556.3619999999992</v>
      </c>
      <c r="I6" s="23">
        <f t="shared" si="0"/>
        <v>19102</v>
      </c>
      <c r="J6" s="62" t="s">
        <v>38</v>
      </c>
      <c r="K6" s="62"/>
      <c r="L6" s="62"/>
    </row>
    <row r="7" spans="1:12" ht="42" customHeight="1">
      <c r="A7" s="42" t="s">
        <v>131</v>
      </c>
      <c r="B7" s="16" t="s">
        <v>13</v>
      </c>
      <c r="C7" s="22">
        <v>350</v>
      </c>
      <c r="D7" s="25">
        <v>5</v>
      </c>
      <c r="E7" s="17">
        <f>(C7*D7)*A2</f>
        <v>21000</v>
      </c>
      <c r="F7" s="17">
        <f>E7+(E7*A3)</f>
        <v>21630</v>
      </c>
      <c r="G7" s="17">
        <f>F7+(F7*A3)</f>
        <v>22278.9</v>
      </c>
      <c r="H7" s="23">
        <f>G7+(G7*A3)</f>
        <v>22947.267</v>
      </c>
      <c r="I7" s="23">
        <f t="shared" si="0"/>
        <v>66856</v>
      </c>
      <c r="J7" s="62" t="s">
        <v>39</v>
      </c>
      <c r="K7" s="62"/>
      <c r="L7" s="62"/>
    </row>
    <row r="8" spans="1:12" ht="39.950000000000003" customHeight="1">
      <c r="A8" s="42" t="s">
        <v>132</v>
      </c>
      <c r="B8" s="16" t="s">
        <v>40</v>
      </c>
      <c r="C8" s="22">
        <v>12</v>
      </c>
      <c r="D8" s="17">
        <v>2250</v>
      </c>
      <c r="E8" s="17">
        <f>D8*C8</f>
        <v>27000</v>
      </c>
      <c r="F8" s="17">
        <f>E8+(E8*A3)</f>
        <v>27810</v>
      </c>
      <c r="G8" s="17">
        <f>F8+(F8*A3)</f>
        <v>28644.3</v>
      </c>
      <c r="H8" s="17">
        <f>G8+(G8*A3)</f>
        <v>29503.629000000001</v>
      </c>
      <c r="I8" s="23">
        <f t="shared" si="0"/>
        <v>85958</v>
      </c>
      <c r="J8" s="62" t="s">
        <v>42</v>
      </c>
      <c r="K8" s="62"/>
      <c r="L8" s="62"/>
    </row>
    <row r="9" spans="1:12" ht="39.950000000000003" customHeight="1">
      <c r="A9" s="42" t="s">
        <v>129</v>
      </c>
      <c r="B9" s="16" t="s">
        <v>40</v>
      </c>
      <c r="C9" s="22">
        <v>12</v>
      </c>
      <c r="D9" s="17">
        <v>2250</v>
      </c>
      <c r="E9" s="17">
        <f>D9*C9</f>
        <v>27000</v>
      </c>
      <c r="F9" s="17">
        <f>E9+(E9*A3)</f>
        <v>27810</v>
      </c>
      <c r="G9" s="17">
        <f>F9+(F9*A3)</f>
        <v>28644.3</v>
      </c>
      <c r="H9" s="17">
        <f>G9+(G9*A3)</f>
        <v>29503.629000000001</v>
      </c>
      <c r="I9" s="23">
        <f t="shared" si="0"/>
        <v>85958</v>
      </c>
      <c r="J9" s="62" t="s">
        <v>42</v>
      </c>
      <c r="K9" s="62"/>
      <c r="L9" s="62"/>
    </row>
    <row r="10" spans="1:12" ht="39.950000000000003" customHeight="1">
      <c r="A10" s="42" t="s">
        <v>130</v>
      </c>
      <c r="B10" s="16" t="s">
        <v>40</v>
      </c>
      <c r="C10" s="22">
        <v>12</v>
      </c>
      <c r="D10" s="17">
        <v>2250</v>
      </c>
      <c r="E10" s="17">
        <f>D10*C10</f>
        <v>27000</v>
      </c>
      <c r="F10" s="17">
        <f>E10+(E10*A3)</f>
        <v>27810</v>
      </c>
      <c r="G10" s="17">
        <f>F10+(F10*A3)</f>
        <v>28644.3</v>
      </c>
      <c r="H10" s="17">
        <f>G10+(G10*A3)</f>
        <v>29503.629000000001</v>
      </c>
      <c r="I10" s="23">
        <f t="shared" si="0"/>
        <v>85958</v>
      </c>
      <c r="J10" s="62" t="s">
        <v>42</v>
      </c>
      <c r="K10" s="62"/>
      <c r="L10" s="62"/>
    </row>
    <row r="11" spans="1:12">
      <c r="A11" s="63" t="s">
        <v>43</v>
      </c>
      <c r="B11" s="63"/>
      <c r="C11" s="63"/>
      <c r="D11" s="63"/>
      <c r="E11" s="26">
        <f>ROUND(SUM(E5:E10),0)</f>
        <v>135000</v>
      </c>
      <c r="F11" s="26">
        <f>ROUND(SUM(F5:F10),0)</f>
        <v>139050</v>
      </c>
      <c r="G11" s="26">
        <f>ROUND(SUM(G5:G10),0)</f>
        <v>143222</v>
      </c>
      <c r="H11" s="27">
        <f>ROUND(SUM(H5:H10),0)</f>
        <v>147518</v>
      </c>
      <c r="I11" s="27">
        <f t="shared" si="0"/>
        <v>429790</v>
      </c>
      <c r="J11" s="13"/>
      <c r="K11" s="4"/>
      <c r="L11" s="4"/>
    </row>
    <row r="12" spans="1:12">
      <c r="A12" s="15"/>
      <c r="B12" s="16"/>
      <c r="C12" s="16"/>
      <c r="D12" s="16"/>
      <c r="E12" s="17"/>
      <c r="F12" s="17"/>
      <c r="G12" s="17"/>
      <c r="H12" s="24"/>
      <c r="I12" s="24"/>
      <c r="J12" s="15"/>
    </row>
    <row r="13" spans="1:12">
      <c r="A13" s="15"/>
      <c r="B13" s="16"/>
      <c r="C13" s="16"/>
      <c r="D13" s="16"/>
      <c r="E13" s="17"/>
      <c r="F13" s="17"/>
      <c r="G13" s="17"/>
      <c r="H13" s="24"/>
      <c r="I13" s="24"/>
      <c r="J13" s="15"/>
    </row>
    <row r="14" spans="1:12">
      <c r="A14" s="15"/>
      <c r="B14" s="16"/>
      <c r="C14" s="16"/>
      <c r="D14" s="16"/>
      <c r="E14" s="17"/>
      <c r="F14" s="17"/>
      <c r="G14" s="17"/>
      <c r="H14" s="24"/>
      <c r="I14" s="24"/>
      <c r="J14" s="15"/>
    </row>
    <row r="15" spans="1:12">
      <c r="A15" s="15"/>
      <c r="B15" s="16"/>
      <c r="C15" s="16"/>
      <c r="D15" s="16"/>
      <c r="E15" s="17"/>
      <c r="F15" s="17"/>
      <c r="G15" s="17"/>
      <c r="H15" s="24"/>
      <c r="I15" s="24"/>
      <c r="J15" s="15"/>
    </row>
    <row r="16" spans="1:12">
      <c r="A16" s="15"/>
      <c r="B16" s="16"/>
      <c r="C16" s="16"/>
      <c r="D16" s="16"/>
      <c r="E16" s="17"/>
      <c r="F16" s="17"/>
      <c r="G16" s="17"/>
      <c r="J16" s="15"/>
    </row>
    <row r="17" spans="1:10">
      <c r="A17" s="15"/>
      <c r="B17" s="16"/>
      <c r="C17" s="16"/>
      <c r="D17" s="16"/>
      <c r="E17" s="17"/>
      <c r="F17" s="17"/>
      <c r="G17" s="17"/>
      <c r="J17" s="15"/>
    </row>
    <row r="18" spans="1:10">
      <c r="A18" s="15"/>
      <c r="B18" s="16"/>
      <c r="C18" s="16"/>
      <c r="D18" s="16"/>
      <c r="E18" s="17"/>
      <c r="F18" s="17"/>
      <c r="G18" s="17"/>
      <c r="J18" s="15"/>
    </row>
    <row r="19" spans="1:10">
      <c r="A19" s="15"/>
      <c r="B19" s="16"/>
      <c r="C19" s="16"/>
      <c r="D19" s="16"/>
      <c r="E19" s="17"/>
      <c r="F19" s="17"/>
      <c r="G19" s="17"/>
      <c r="J19" s="15"/>
    </row>
    <row r="20" spans="1:10">
      <c r="A20" s="15"/>
      <c r="B20" s="16"/>
      <c r="C20" s="16"/>
      <c r="D20" s="16"/>
      <c r="E20" s="17"/>
      <c r="F20" s="17"/>
      <c r="G20" s="17"/>
      <c r="J20" s="15"/>
    </row>
    <row r="21" spans="1:10">
      <c r="A21" s="15"/>
      <c r="B21" s="16"/>
      <c r="C21" s="16"/>
      <c r="D21" s="16"/>
      <c r="E21" s="17"/>
      <c r="F21" s="17"/>
      <c r="G21" s="17"/>
      <c r="J21" s="15"/>
    </row>
    <row r="22" spans="1:10">
      <c r="A22" s="15"/>
      <c r="B22" s="16"/>
      <c r="C22" s="16"/>
      <c r="D22" s="16"/>
      <c r="E22" s="17"/>
      <c r="F22" s="17"/>
      <c r="G22" s="17"/>
      <c r="J22" s="15"/>
    </row>
    <row r="23" spans="1:10">
      <c r="A23" s="15"/>
      <c r="B23" s="16"/>
      <c r="C23" s="16"/>
      <c r="D23" s="16"/>
      <c r="E23" s="17"/>
      <c r="F23" s="17"/>
      <c r="G23" s="17"/>
    </row>
    <row r="24" spans="1:10">
      <c r="A24" s="15"/>
      <c r="B24" s="16"/>
      <c r="C24" s="16"/>
      <c r="D24" s="16"/>
      <c r="E24" s="17"/>
      <c r="F24" s="17"/>
      <c r="G24" s="17"/>
    </row>
    <row r="25" spans="1:10">
      <c r="A25" s="15"/>
      <c r="B25" s="16"/>
      <c r="C25" s="16"/>
      <c r="D25" s="16"/>
      <c r="E25" s="17"/>
      <c r="F25" s="17"/>
      <c r="G25" s="17"/>
    </row>
    <row r="26" spans="1:10">
      <c r="A26" s="15"/>
      <c r="B26" s="16"/>
      <c r="C26" s="16"/>
      <c r="D26" s="16"/>
      <c r="E26" s="17"/>
      <c r="F26" s="17"/>
      <c r="G26" s="17"/>
    </row>
    <row r="27" spans="1:10">
      <c r="A27" s="15"/>
      <c r="B27" s="16"/>
      <c r="C27" s="16"/>
      <c r="D27" s="16"/>
      <c r="E27" s="17"/>
      <c r="F27" s="17"/>
      <c r="G27" s="17"/>
    </row>
    <row r="28" spans="1:10">
      <c r="A28" s="15"/>
      <c r="B28" s="16"/>
      <c r="C28" s="16"/>
      <c r="D28" s="16"/>
      <c r="E28" s="17"/>
      <c r="F28" s="17"/>
      <c r="G28" s="17"/>
    </row>
    <row r="29" spans="1:10">
      <c r="A29" s="15"/>
      <c r="B29" s="16"/>
      <c r="C29" s="16"/>
      <c r="D29" s="16"/>
      <c r="E29" s="17"/>
      <c r="F29" s="17"/>
      <c r="G29" s="17"/>
    </row>
    <row r="30" spans="1:10">
      <c r="A30" s="15"/>
      <c r="B30" s="16"/>
      <c r="C30" s="16"/>
      <c r="D30" s="16"/>
      <c r="E30" s="17"/>
      <c r="F30" s="17"/>
      <c r="G30" s="17"/>
    </row>
    <row r="31" spans="1:10">
      <c r="A31" s="15"/>
      <c r="B31" s="16"/>
      <c r="C31" s="16"/>
      <c r="D31" s="16"/>
      <c r="E31" s="17"/>
      <c r="F31" s="17"/>
      <c r="G31" s="17"/>
    </row>
    <row r="32" spans="1:10">
      <c r="A32" s="15"/>
      <c r="B32" s="16"/>
      <c r="C32" s="16"/>
      <c r="D32" s="16"/>
      <c r="E32" s="17"/>
      <c r="F32" s="17"/>
      <c r="G32" s="17"/>
    </row>
    <row r="33" spans="1:7">
      <c r="A33" s="15"/>
      <c r="B33" s="16"/>
      <c r="C33" s="16"/>
      <c r="D33" s="16"/>
      <c r="E33" s="17"/>
      <c r="F33" s="17"/>
      <c r="G33" s="17"/>
    </row>
    <row r="34" spans="1:7">
      <c r="A34" s="15"/>
      <c r="B34" s="16"/>
      <c r="C34" s="16"/>
      <c r="D34" s="16"/>
      <c r="E34" s="17"/>
      <c r="F34" s="17"/>
      <c r="G34" s="17"/>
    </row>
    <row r="35" spans="1:7">
      <c r="A35" s="15"/>
      <c r="B35" s="16"/>
      <c r="C35" s="16"/>
      <c r="D35" s="16"/>
      <c r="E35" s="17"/>
      <c r="F35" s="17"/>
      <c r="G35" s="17"/>
    </row>
    <row r="36" spans="1:7">
      <c r="A36" s="15"/>
      <c r="B36" s="16"/>
      <c r="C36" s="16"/>
      <c r="D36" s="16"/>
      <c r="E36" s="17"/>
      <c r="F36" s="17"/>
      <c r="G36" s="17"/>
    </row>
  </sheetData>
  <mergeCells count="11">
    <mergeCell ref="A1:L1"/>
    <mergeCell ref="B2:L2"/>
    <mergeCell ref="A11:D11"/>
    <mergeCell ref="B3:L3"/>
    <mergeCell ref="J8:L8"/>
    <mergeCell ref="J9:L9"/>
    <mergeCell ref="J10:L10"/>
    <mergeCell ref="J5:L5"/>
    <mergeCell ref="J6:L6"/>
    <mergeCell ref="J7:L7"/>
    <mergeCell ref="J4:L4"/>
  </mergeCells>
  <pageMargins left="0.45" right="0.45" top="0.5" bottom="0.5" header="0.3" footer="0.3"/>
  <pageSetup scale="68" orientation="landscape" horizontalDpi="0" verticalDpi="0" r:id="rId1"/>
</worksheet>
</file>

<file path=xl/worksheets/sheet5.xml><?xml version="1.0" encoding="utf-8"?>
<worksheet xmlns="http://schemas.openxmlformats.org/spreadsheetml/2006/main" xmlns:r="http://schemas.openxmlformats.org/officeDocument/2006/relationships">
  <dimension ref="A1:J18"/>
  <sheetViews>
    <sheetView topLeftCell="A4" workbookViewId="0">
      <selection activeCell="A18" sqref="A18"/>
    </sheetView>
  </sheetViews>
  <sheetFormatPr defaultRowHeight="15"/>
  <cols>
    <col min="1" max="2" width="32.42578125" style="1" customWidth="1"/>
    <col min="3" max="3" width="50.140625" style="1" customWidth="1"/>
  </cols>
  <sheetData>
    <row r="1" spans="1:10" ht="48.75" customHeight="1">
      <c r="A1" s="71" t="s">
        <v>26</v>
      </c>
      <c r="B1" s="71"/>
      <c r="C1" s="71"/>
      <c r="D1" s="71"/>
      <c r="E1" s="71"/>
    </row>
    <row r="2" spans="1:10" ht="47.25" customHeight="1">
      <c r="A2" s="72" t="s">
        <v>27</v>
      </c>
      <c r="B2" s="72"/>
      <c r="C2" s="72"/>
      <c r="D2" s="72"/>
      <c r="E2" s="72"/>
      <c r="F2" s="72" t="s">
        <v>28</v>
      </c>
      <c r="G2" s="72"/>
      <c r="H2" s="72"/>
      <c r="I2" s="72"/>
      <c r="J2" s="72"/>
    </row>
    <row r="3" spans="1:10">
      <c r="A3" s="2"/>
    </row>
    <row r="4" spans="1:10" ht="31.5" customHeight="1">
      <c r="A4" s="5" t="s">
        <v>7</v>
      </c>
      <c r="B4" s="5" t="s">
        <v>8</v>
      </c>
      <c r="C4" s="5" t="s">
        <v>9</v>
      </c>
    </row>
    <row r="5" spans="1:10" ht="60.75" customHeight="1">
      <c r="A5" s="11" t="s">
        <v>30</v>
      </c>
      <c r="B5" s="73">
        <v>75000</v>
      </c>
      <c r="C5" s="69" t="s">
        <v>15</v>
      </c>
    </row>
    <row r="6" spans="1:10" ht="94.5" customHeight="1">
      <c r="A6" s="6"/>
      <c r="B6" s="74"/>
      <c r="C6" s="70"/>
      <c r="H6">
        <f>(39.5+13+6+ 14.5+ 18+ 61.85%)/6</f>
        <v>15.26975</v>
      </c>
    </row>
    <row r="7" spans="1:10" ht="122.25" customHeight="1">
      <c r="A7" s="69" t="s">
        <v>29</v>
      </c>
      <c r="B7" s="73">
        <v>75000</v>
      </c>
      <c r="C7" s="69" t="s">
        <v>46</v>
      </c>
    </row>
    <row r="8" spans="1:10" ht="51" customHeight="1">
      <c r="A8" s="70"/>
      <c r="B8" s="74"/>
      <c r="C8" s="70"/>
    </row>
    <row r="9" spans="1:10" ht="208.5" customHeight="1">
      <c r="A9" s="11" t="s">
        <v>23</v>
      </c>
      <c r="B9" s="73">
        <v>68000</v>
      </c>
      <c r="C9" s="69" t="s">
        <v>47</v>
      </c>
    </row>
    <row r="10" spans="1:10" ht="63.75" customHeight="1">
      <c r="A10" s="6" t="s">
        <v>24</v>
      </c>
      <c r="B10" s="74"/>
      <c r="C10" s="70"/>
    </row>
    <row r="11" spans="1:10" ht="409.5" customHeight="1">
      <c r="A11" s="7" t="s">
        <v>10</v>
      </c>
      <c r="B11" s="7" t="s">
        <v>11</v>
      </c>
      <c r="C11" s="7" t="s">
        <v>12</v>
      </c>
    </row>
    <row r="12" spans="1:10" ht="173.25" customHeight="1">
      <c r="A12" s="7" t="s">
        <v>13</v>
      </c>
      <c r="B12" s="8">
        <v>10000</v>
      </c>
      <c r="C12" s="7" t="s">
        <v>14</v>
      </c>
    </row>
    <row r="13" spans="1:10" ht="110.25" customHeight="1">
      <c r="A13" s="7" t="s">
        <v>10</v>
      </c>
      <c r="B13" s="7" t="s">
        <v>11</v>
      </c>
      <c r="C13" s="7" t="s">
        <v>12</v>
      </c>
    </row>
    <row r="14" spans="1:10" ht="31.5">
      <c r="A14" s="7" t="s">
        <v>25</v>
      </c>
      <c r="B14" s="8">
        <v>18000</v>
      </c>
      <c r="C14" s="7" t="s">
        <v>16</v>
      </c>
    </row>
    <row r="15" spans="1:10" ht="15.75">
      <c r="A15" s="7" t="s">
        <v>17</v>
      </c>
      <c r="B15" s="8">
        <v>18900</v>
      </c>
      <c r="C15" s="7" t="s">
        <v>18</v>
      </c>
    </row>
    <row r="16" spans="1:10" ht="15.75">
      <c r="A16" s="7" t="s">
        <v>19</v>
      </c>
      <c r="B16" s="7" t="s">
        <v>20</v>
      </c>
      <c r="C16" s="7" t="s">
        <v>21</v>
      </c>
    </row>
    <row r="18" spans="1:1" ht="220.5">
      <c r="A18" s="9" t="s">
        <v>22</v>
      </c>
    </row>
  </sheetData>
  <mergeCells count="10">
    <mergeCell ref="B9:B10"/>
    <mergeCell ref="B5:B6"/>
    <mergeCell ref="C5:C6"/>
    <mergeCell ref="C9:C10"/>
    <mergeCell ref="C7:C8"/>
    <mergeCell ref="A7:A8"/>
    <mergeCell ref="A1:E1"/>
    <mergeCell ref="A2:E2"/>
    <mergeCell ref="F2:J2"/>
    <mergeCell ref="B7:B8"/>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dimension ref="A1:L51"/>
  <sheetViews>
    <sheetView view="pageLayout" topLeftCell="A17" zoomScaleNormal="100" workbookViewId="0">
      <selection activeCell="A11" sqref="A11:L11"/>
    </sheetView>
  </sheetViews>
  <sheetFormatPr defaultRowHeight="15"/>
  <cols>
    <col min="1" max="1" width="30.5703125" customWidth="1"/>
    <col min="2" max="2" width="19.85546875" customWidth="1"/>
    <col min="3" max="3" width="8" customWidth="1"/>
    <col min="4" max="4" width="12.85546875" customWidth="1"/>
    <col min="5" max="5" width="17.5703125" bestFit="1" customWidth="1"/>
    <col min="6" max="6" width="17" bestFit="1" customWidth="1"/>
    <col min="7" max="7" width="18" bestFit="1" customWidth="1"/>
    <col min="8" max="9" width="12.5703125" customWidth="1"/>
    <col min="10" max="10" width="16.28515625" customWidth="1"/>
    <col min="12" max="12" width="9.140625" customWidth="1"/>
  </cols>
  <sheetData>
    <row r="1" spans="1:12" ht="36.75" customHeight="1">
      <c r="A1" s="64" t="s">
        <v>138</v>
      </c>
      <c r="B1" s="75"/>
      <c r="C1" s="75"/>
      <c r="D1" s="75"/>
      <c r="E1" s="75"/>
      <c r="F1" s="75"/>
      <c r="G1" s="75"/>
      <c r="H1" s="75"/>
      <c r="I1" s="75"/>
      <c r="J1" s="75"/>
      <c r="K1" s="75"/>
      <c r="L1" s="75"/>
    </row>
    <row r="2" spans="1:12" ht="24.95" customHeight="1">
      <c r="A2" s="20">
        <v>0.05</v>
      </c>
      <c r="B2" s="65" t="s">
        <v>34</v>
      </c>
      <c r="C2" s="65"/>
      <c r="D2" s="65"/>
      <c r="E2" s="65"/>
      <c r="F2" s="65"/>
      <c r="G2" s="65"/>
      <c r="H2" s="65"/>
      <c r="I2" s="65"/>
      <c r="J2" s="65"/>
      <c r="K2" s="65"/>
      <c r="L2" s="65"/>
    </row>
    <row r="3" spans="1:12" ht="23.25" customHeight="1">
      <c r="A3" s="21" t="s">
        <v>44</v>
      </c>
      <c r="B3" s="65" t="s">
        <v>85</v>
      </c>
      <c r="C3" s="65"/>
      <c r="D3" s="65"/>
      <c r="E3" s="65"/>
      <c r="F3" s="65"/>
      <c r="G3" s="65"/>
      <c r="H3" s="65"/>
      <c r="I3" s="65"/>
      <c r="J3" s="65"/>
      <c r="K3" s="65"/>
      <c r="L3" s="65"/>
    </row>
    <row r="4" spans="1:12" s="44" customFormat="1" ht="33.75" customHeight="1">
      <c r="A4" s="40" t="s">
        <v>79</v>
      </c>
      <c r="B4" s="40" t="s">
        <v>1</v>
      </c>
      <c r="C4" s="40" t="s">
        <v>2</v>
      </c>
      <c r="D4" s="18" t="s">
        <v>31</v>
      </c>
      <c r="E4" s="40" t="s">
        <v>3</v>
      </c>
      <c r="F4" s="40" t="s">
        <v>4</v>
      </c>
      <c r="G4" s="40" t="s">
        <v>5</v>
      </c>
      <c r="H4" s="40" t="s">
        <v>6</v>
      </c>
      <c r="I4" s="18" t="s">
        <v>124</v>
      </c>
      <c r="J4" s="76" t="s">
        <v>33</v>
      </c>
      <c r="K4" s="76"/>
      <c r="L4" s="76"/>
    </row>
    <row r="5" spans="1:12" s="3" customFormat="1" ht="66.75" customHeight="1">
      <c r="A5" s="15" t="s">
        <v>82</v>
      </c>
      <c r="B5" s="16" t="s">
        <v>83</v>
      </c>
      <c r="C5" s="22">
        <v>1</v>
      </c>
      <c r="D5" s="25">
        <v>22000</v>
      </c>
      <c r="E5" s="17">
        <f>(C5*D5)</f>
        <v>22000</v>
      </c>
      <c r="F5" s="17">
        <f>E5+(E5*A2)</f>
        <v>23100</v>
      </c>
      <c r="G5" s="17">
        <f>F5+(F5*A2)</f>
        <v>24255</v>
      </c>
      <c r="H5" s="23">
        <f>G5+(G5*A2)</f>
        <v>25467.75</v>
      </c>
      <c r="I5" s="23">
        <f>ROUND(SUM(F5:H5),0)</f>
        <v>72823</v>
      </c>
      <c r="J5" s="62" t="s">
        <v>84</v>
      </c>
      <c r="K5" s="62"/>
      <c r="L5" s="62"/>
    </row>
    <row r="6" spans="1:12" ht="42" customHeight="1">
      <c r="A6" s="15" t="s">
        <v>78</v>
      </c>
      <c r="B6" s="15" t="s">
        <v>44</v>
      </c>
      <c r="C6" s="22">
        <v>1</v>
      </c>
      <c r="D6" s="25">
        <f>60000*1.25</f>
        <v>75000</v>
      </c>
      <c r="E6" s="17">
        <f>(C6*D6)</f>
        <v>75000</v>
      </c>
      <c r="F6" s="17">
        <f>E6+(E6*A2)</f>
        <v>78750</v>
      </c>
      <c r="G6" s="17">
        <f>F6+(F6*A2)</f>
        <v>82687.5</v>
      </c>
      <c r="H6" s="23">
        <f>G6+(G6*A2)</f>
        <v>86821.875</v>
      </c>
      <c r="I6" s="23">
        <f>ROUND(SUM(F6:H6),0)</f>
        <v>248259</v>
      </c>
      <c r="J6" s="62" t="s">
        <v>80</v>
      </c>
      <c r="K6" s="62"/>
      <c r="L6" s="62"/>
    </row>
    <row r="7" spans="1:12" ht="42" customHeight="1">
      <c r="A7" s="15" t="s">
        <v>78</v>
      </c>
      <c r="B7" s="15" t="s">
        <v>44</v>
      </c>
      <c r="C7" s="22">
        <v>0.5</v>
      </c>
      <c r="D7" s="25">
        <f>60000*1.25</f>
        <v>75000</v>
      </c>
      <c r="E7" s="17">
        <f>(C7*D7)</f>
        <v>37500</v>
      </c>
      <c r="F7" s="17">
        <f>E7+(E7*A2)</f>
        <v>39375</v>
      </c>
      <c r="G7" s="17">
        <f>F7+(F7*A2)</f>
        <v>41343.75</v>
      </c>
      <c r="H7" s="23">
        <f>G7+(G7*A2)</f>
        <v>43410.9375</v>
      </c>
      <c r="I7" s="23">
        <f>ROUND(SUM(F7:H7),0)</f>
        <v>124130</v>
      </c>
      <c r="J7" s="62" t="s">
        <v>81</v>
      </c>
      <c r="K7" s="62"/>
      <c r="L7" s="62"/>
    </row>
    <row r="8" spans="1:12" ht="42" customHeight="1">
      <c r="A8" s="67" t="s">
        <v>105</v>
      </c>
      <c r="B8" s="67"/>
      <c r="C8" s="67"/>
      <c r="D8" s="67"/>
      <c r="E8" s="17">
        <f>(SUM(E5:E7))*0.1</f>
        <v>13450</v>
      </c>
      <c r="F8" s="17">
        <f t="shared" ref="F8:H8" si="0">(SUM(F5:F7))*0.1</f>
        <v>14122.5</v>
      </c>
      <c r="G8" s="17">
        <f t="shared" si="0"/>
        <v>14828.625</v>
      </c>
      <c r="H8" s="17">
        <f t="shared" si="0"/>
        <v>15570.056250000001</v>
      </c>
      <c r="I8" s="23">
        <f>ROUND(SUM(F8:H8),0)</f>
        <v>44521</v>
      </c>
      <c r="J8" s="15"/>
      <c r="K8" s="15"/>
      <c r="L8" s="15"/>
    </row>
    <row r="9" spans="1:12">
      <c r="A9" s="63" t="s">
        <v>43</v>
      </c>
      <c r="B9" s="63"/>
      <c r="C9" s="63"/>
      <c r="D9" s="63"/>
      <c r="E9" s="26">
        <f>ROUND(SUM(E5:E8),0)</f>
        <v>147950</v>
      </c>
      <c r="F9" s="26">
        <f>ROUND(SUM(F5:F8),0)</f>
        <v>155348</v>
      </c>
      <c r="G9" s="26">
        <f>ROUND(SUM(G5:G8),0)</f>
        <v>163115</v>
      </c>
      <c r="H9" s="27">
        <f>ROUND(SUM(H5:H8),0)</f>
        <v>171271</v>
      </c>
      <c r="I9" s="27">
        <f t="shared" ref="I9" si="1">SUM(F9:H9)</f>
        <v>489734</v>
      </c>
      <c r="J9" s="13"/>
      <c r="K9" s="4"/>
      <c r="L9" s="4"/>
    </row>
    <row r="10" spans="1:12">
      <c r="A10" s="15"/>
      <c r="B10" s="16"/>
      <c r="C10" s="16"/>
      <c r="D10" s="16"/>
      <c r="E10" s="17"/>
      <c r="F10" s="17"/>
      <c r="G10" s="17"/>
      <c r="H10" s="24"/>
      <c r="I10" s="24"/>
      <c r="J10" s="15"/>
    </row>
    <row r="11" spans="1:12" ht="50.25" customHeight="1">
      <c r="A11" s="64" t="s">
        <v>139</v>
      </c>
      <c r="B11" s="75"/>
      <c r="C11" s="75"/>
      <c r="D11" s="75"/>
      <c r="E11" s="75"/>
      <c r="F11" s="75"/>
      <c r="G11" s="75"/>
      <c r="H11" s="75"/>
      <c r="I11" s="75"/>
      <c r="J11" s="75"/>
      <c r="K11" s="75"/>
      <c r="L11" s="75"/>
    </row>
    <row r="12" spans="1:12" ht="24.95" customHeight="1">
      <c r="A12" s="20">
        <v>0.03</v>
      </c>
      <c r="B12" s="65" t="s">
        <v>35</v>
      </c>
      <c r="C12" s="65"/>
      <c r="D12" s="65"/>
      <c r="E12" s="65"/>
      <c r="F12" s="65"/>
      <c r="G12" s="65"/>
      <c r="H12" s="65"/>
      <c r="I12" s="65"/>
      <c r="J12" s="65"/>
      <c r="K12" s="65"/>
      <c r="L12" s="65"/>
    </row>
    <row r="13" spans="1:12" ht="15" customHeight="1">
      <c r="A13" s="20">
        <v>0.05</v>
      </c>
      <c r="B13" s="65" t="s">
        <v>34</v>
      </c>
      <c r="C13" s="65"/>
      <c r="D13" s="65"/>
      <c r="E13" s="65"/>
      <c r="F13" s="65"/>
      <c r="G13" s="65"/>
      <c r="H13" s="65"/>
      <c r="I13" s="65"/>
      <c r="J13" s="65"/>
      <c r="K13" s="65"/>
      <c r="L13" s="65"/>
    </row>
    <row r="14" spans="1:12" ht="15" customHeight="1">
      <c r="A14" s="21" t="s">
        <v>44</v>
      </c>
      <c r="B14" s="65" t="s">
        <v>85</v>
      </c>
      <c r="C14" s="65"/>
      <c r="D14" s="65"/>
      <c r="E14" s="65"/>
      <c r="F14" s="65"/>
      <c r="G14" s="65"/>
      <c r="H14" s="65"/>
      <c r="I14" s="65"/>
      <c r="J14" s="65"/>
      <c r="K14" s="65"/>
      <c r="L14" s="65"/>
    </row>
    <row r="15" spans="1:12" ht="30">
      <c r="A15" s="12" t="s">
        <v>79</v>
      </c>
      <c r="B15" s="12" t="s">
        <v>1</v>
      </c>
      <c r="C15" s="12" t="s">
        <v>2</v>
      </c>
      <c r="D15" s="13" t="s">
        <v>31</v>
      </c>
      <c r="E15" s="12" t="s">
        <v>3</v>
      </c>
      <c r="F15" s="12" t="s">
        <v>4</v>
      </c>
      <c r="G15" s="12" t="s">
        <v>5</v>
      </c>
      <c r="H15" s="12" t="s">
        <v>6</v>
      </c>
      <c r="I15" s="18" t="s">
        <v>124</v>
      </c>
      <c r="J15" s="66" t="s">
        <v>33</v>
      </c>
      <c r="K15" s="66"/>
      <c r="L15" s="66"/>
    </row>
    <row r="16" spans="1:12" ht="38.25" customHeight="1">
      <c r="A16" s="15" t="s">
        <v>104</v>
      </c>
      <c r="B16" s="16" t="s">
        <v>44</v>
      </c>
      <c r="C16" s="22">
        <v>1</v>
      </c>
      <c r="D16" s="25">
        <f>62400*1.25</f>
        <v>78000</v>
      </c>
      <c r="E16" s="17">
        <f>(C16*D16)</f>
        <v>78000</v>
      </c>
      <c r="F16" s="17">
        <f>E16+(E16*A13)</f>
        <v>81900</v>
      </c>
      <c r="G16" s="17">
        <f>F16+(F16*A13)</f>
        <v>85995</v>
      </c>
      <c r="H16" s="23">
        <f>G16+(G16*A13)</f>
        <v>90294.75</v>
      </c>
      <c r="I16" s="23">
        <f t="shared" ref="I16:I27" si="2">ROUND(SUM(F16:H16),0)</f>
        <v>258190</v>
      </c>
      <c r="J16" s="62" t="s">
        <v>103</v>
      </c>
      <c r="K16" s="62"/>
      <c r="L16" s="62"/>
    </row>
    <row r="17" spans="1:12" ht="42.75" customHeight="1">
      <c r="A17" s="15" t="s">
        <v>86</v>
      </c>
      <c r="B17" s="15" t="s">
        <v>44</v>
      </c>
      <c r="C17" s="22">
        <v>1</v>
      </c>
      <c r="D17" s="25">
        <f>(16*10*52)*1.25</f>
        <v>10400</v>
      </c>
      <c r="E17" s="17">
        <f>(C17*D17)</f>
        <v>10400</v>
      </c>
      <c r="F17" s="17">
        <f>E17+(E17*A13)</f>
        <v>10920</v>
      </c>
      <c r="G17" s="17">
        <f>F17+(F17*A13)</f>
        <v>11466</v>
      </c>
      <c r="H17" s="23">
        <f>G17+(G17*A13)</f>
        <v>12039.3</v>
      </c>
      <c r="I17" s="23">
        <f t="shared" si="2"/>
        <v>34425</v>
      </c>
      <c r="J17" s="62" t="s">
        <v>87</v>
      </c>
      <c r="K17" s="62"/>
      <c r="L17" s="62"/>
    </row>
    <row r="18" spans="1:12" ht="54" customHeight="1">
      <c r="A18" s="15" t="s">
        <v>89</v>
      </c>
      <c r="B18" s="15" t="s">
        <v>44</v>
      </c>
      <c r="C18" s="22">
        <v>1</v>
      </c>
      <c r="D18" s="25">
        <f>(30*40*12)*1.25</f>
        <v>18000</v>
      </c>
      <c r="E18" s="17">
        <f>(C18*D18)</f>
        <v>18000</v>
      </c>
      <c r="F18" s="17">
        <f>E18+(E18*A13)</f>
        <v>18900</v>
      </c>
      <c r="G18" s="17">
        <f>F18+(F18*A13)</f>
        <v>19845</v>
      </c>
      <c r="H18" s="23">
        <f>G18+(G18*A13)</f>
        <v>20837.25</v>
      </c>
      <c r="I18" s="23">
        <f t="shared" si="2"/>
        <v>59582</v>
      </c>
      <c r="J18" s="62" t="s">
        <v>88</v>
      </c>
      <c r="K18" s="62"/>
      <c r="L18" s="62"/>
    </row>
    <row r="19" spans="1:12" ht="42" customHeight="1">
      <c r="A19" s="15" t="s">
        <v>90</v>
      </c>
      <c r="B19" s="15" t="s">
        <v>13</v>
      </c>
      <c r="C19" s="22">
        <v>12</v>
      </c>
      <c r="D19" s="25">
        <v>250</v>
      </c>
      <c r="E19" s="17">
        <f>C19*D19</f>
        <v>3000</v>
      </c>
      <c r="F19" s="17">
        <f>E19+(E19*A12)</f>
        <v>3090</v>
      </c>
      <c r="G19" s="17">
        <f>F19+(F19*A12)</f>
        <v>3182.7</v>
      </c>
      <c r="H19" s="23">
        <f>G19+(G19*A12)</f>
        <v>3278.1809999999996</v>
      </c>
      <c r="I19" s="23">
        <f t="shared" si="2"/>
        <v>9551</v>
      </c>
      <c r="J19" s="62" t="s">
        <v>91</v>
      </c>
      <c r="K19" s="62"/>
      <c r="L19" s="62"/>
    </row>
    <row r="20" spans="1:12" ht="42" customHeight="1">
      <c r="A20" s="15" t="s">
        <v>69</v>
      </c>
      <c r="B20" s="15" t="s">
        <v>92</v>
      </c>
      <c r="C20" s="22">
        <v>1</v>
      </c>
      <c r="D20" s="25">
        <v>8000</v>
      </c>
      <c r="E20" s="17">
        <v>8000</v>
      </c>
      <c r="F20" s="17">
        <v>8000</v>
      </c>
      <c r="G20" s="17">
        <v>8000</v>
      </c>
      <c r="H20" s="23">
        <v>8000</v>
      </c>
      <c r="I20" s="23">
        <f t="shared" si="2"/>
        <v>24000</v>
      </c>
      <c r="J20" s="62" t="s">
        <v>93</v>
      </c>
      <c r="K20" s="62"/>
      <c r="L20" s="62"/>
    </row>
    <row r="21" spans="1:12" ht="42" customHeight="1">
      <c r="A21" s="15" t="s">
        <v>95</v>
      </c>
      <c r="B21" s="15" t="s">
        <v>94</v>
      </c>
      <c r="C21" s="22">
        <v>1</v>
      </c>
      <c r="D21" s="25">
        <v>2200</v>
      </c>
      <c r="E21" s="25">
        <f>C21*D21</f>
        <v>2200</v>
      </c>
      <c r="F21" s="25">
        <f>E21+(E21*A12)</f>
        <v>2266</v>
      </c>
      <c r="G21" s="25">
        <f>F21+(F21*A12)</f>
        <v>2333.98</v>
      </c>
      <c r="H21" s="25">
        <f>G21+(G21*A12)</f>
        <v>2403.9994000000002</v>
      </c>
      <c r="I21" s="23">
        <f t="shared" si="2"/>
        <v>7004</v>
      </c>
      <c r="J21" s="62" t="s">
        <v>99</v>
      </c>
      <c r="K21" s="62"/>
      <c r="L21" s="62"/>
    </row>
    <row r="22" spans="1:12" ht="52.5" customHeight="1">
      <c r="A22" s="15" t="s">
        <v>96</v>
      </c>
      <c r="B22" s="15" t="s">
        <v>94</v>
      </c>
      <c r="C22" s="22">
        <v>15</v>
      </c>
      <c r="D22" s="25">
        <v>199</v>
      </c>
      <c r="E22" s="25">
        <f>C22*D22</f>
        <v>2985</v>
      </c>
      <c r="F22" s="25">
        <f>E22+(E22*A12)</f>
        <v>3074.55</v>
      </c>
      <c r="G22" s="25">
        <f>F22+(F22*A12)</f>
        <v>3166.7865000000002</v>
      </c>
      <c r="H22" s="25">
        <f>G22+(G22*A12)</f>
        <v>3261.7900950000003</v>
      </c>
      <c r="I22" s="23">
        <f t="shared" si="2"/>
        <v>9503</v>
      </c>
      <c r="J22" s="62" t="s">
        <v>97</v>
      </c>
      <c r="K22" s="62"/>
      <c r="L22" s="62"/>
    </row>
    <row r="23" spans="1:12" ht="49.5" customHeight="1">
      <c r="A23" s="15" t="s">
        <v>98</v>
      </c>
      <c r="B23" s="15" t="s">
        <v>94</v>
      </c>
      <c r="C23" s="22">
        <v>50</v>
      </c>
      <c r="D23" s="25">
        <f>12.5*12</f>
        <v>150</v>
      </c>
      <c r="E23" s="25">
        <f>C23*D23</f>
        <v>7500</v>
      </c>
      <c r="F23" s="25">
        <f>E23+(E23*A12)</f>
        <v>7725</v>
      </c>
      <c r="G23" s="25">
        <f>F23+(F23*A12)</f>
        <v>7956.75</v>
      </c>
      <c r="H23" s="25">
        <f>G23+(G23*A12)</f>
        <v>8195.4524999999994</v>
      </c>
      <c r="I23" s="23">
        <f t="shared" si="2"/>
        <v>23877</v>
      </c>
      <c r="J23" s="62" t="s">
        <v>101</v>
      </c>
      <c r="K23" s="62"/>
      <c r="L23" s="62"/>
    </row>
    <row r="24" spans="1:12" ht="42" customHeight="1">
      <c r="A24" s="15" t="s">
        <v>76</v>
      </c>
      <c r="B24" s="15" t="s">
        <v>94</v>
      </c>
      <c r="C24" s="22">
        <v>1</v>
      </c>
      <c r="D24" s="25">
        <v>2750</v>
      </c>
      <c r="E24" s="17">
        <f>C24*D24</f>
        <v>2750</v>
      </c>
      <c r="F24" s="17">
        <f>E24+(E24*A12)</f>
        <v>2832.5</v>
      </c>
      <c r="G24" s="17">
        <f>F24+(F24*A12)</f>
        <v>2917.4749999999999</v>
      </c>
      <c r="H24" s="23">
        <f>G24+(G24*A12)</f>
        <v>3004.9992499999998</v>
      </c>
      <c r="I24" s="23">
        <f t="shared" si="2"/>
        <v>8755</v>
      </c>
      <c r="J24" s="62" t="s">
        <v>100</v>
      </c>
      <c r="K24" s="62"/>
      <c r="L24" s="62"/>
    </row>
    <row r="25" spans="1:12" ht="42" customHeight="1">
      <c r="A25" s="15" t="s">
        <v>77</v>
      </c>
      <c r="B25" s="15" t="s">
        <v>94</v>
      </c>
      <c r="C25" s="22">
        <v>1</v>
      </c>
      <c r="D25" s="25">
        <f>35*12</f>
        <v>420</v>
      </c>
      <c r="E25" s="17">
        <f>D25*C25</f>
        <v>420</v>
      </c>
      <c r="F25" s="17">
        <f>E25+(E25*A12)</f>
        <v>432.6</v>
      </c>
      <c r="G25" s="17">
        <f>F25+(F25*A12)</f>
        <v>445.57800000000003</v>
      </c>
      <c r="H25" s="23">
        <f>G25+(G25*A12)</f>
        <v>458.94534000000004</v>
      </c>
      <c r="I25" s="23">
        <f t="shared" si="2"/>
        <v>1337</v>
      </c>
      <c r="J25" s="62" t="s">
        <v>102</v>
      </c>
      <c r="K25" s="62"/>
      <c r="L25" s="62"/>
    </row>
    <row r="26" spans="1:12" ht="42" customHeight="1">
      <c r="A26" s="67" t="s">
        <v>105</v>
      </c>
      <c r="B26" s="67"/>
      <c r="C26" s="67"/>
      <c r="D26" s="67"/>
      <c r="E26" s="17">
        <f>0.1*(SUM(E16:E25))</f>
        <v>13325.5</v>
      </c>
      <c r="F26" s="17">
        <f t="shared" ref="F26:H26" si="3">0.1*(SUM(F16:F25))</f>
        <v>13914.065000000001</v>
      </c>
      <c r="G26" s="17">
        <f t="shared" si="3"/>
        <v>14530.926950000001</v>
      </c>
      <c r="H26" s="17">
        <f t="shared" si="3"/>
        <v>15177.466758500002</v>
      </c>
      <c r="I26" s="23">
        <f t="shared" si="2"/>
        <v>43622</v>
      </c>
      <c r="J26" s="15"/>
      <c r="K26" s="15"/>
      <c r="L26" s="15"/>
    </row>
    <row r="27" spans="1:12">
      <c r="A27" s="63" t="s">
        <v>43</v>
      </c>
      <c r="B27" s="63"/>
      <c r="C27" s="63"/>
      <c r="D27" s="63"/>
      <c r="E27" s="26">
        <f>ROUND(SUM(E16:E26),0)</f>
        <v>146581</v>
      </c>
      <c r="F27" s="26">
        <f>ROUND(SUM(F16:F25),0)</f>
        <v>139141</v>
      </c>
      <c r="G27" s="26">
        <f>ROUND(SUM(G16:G25),0)</f>
        <v>145309</v>
      </c>
      <c r="H27" s="27">
        <f>ROUND(SUM(H16:H25),0)</f>
        <v>151775</v>
      </c>
      <c r="I27" s="27">
        <f t="shared" si="2"/>
        <v>436225</v>
      </c>
      <c r="J27" s="13"/>
      <c r="K27" s="4"/>
      <c r="L27" s="4"/>
    </row>
    <row r="28" spans="1:12">
      <c r="A28" s="15"/>
      <c r="B28" s="16"/>
      <c r="C28" s="16"/>
      <c r="D28" s="16"/>
      <c r="E28" s="17"/>
      <c r="F28" s="17"/>
      <c r="G28" s="17"/>
      <c r="H28" s="24"/>
      <c r="I28" s="24"/>
      <c r="J28" s="15"/>
    </row>
    <row r="29" spans="1:12">
      <c r="A29" s="15"/>
      <c r="B29" s="16"/>
      <c r="C29" s="16"/>
      <c r="D29" s="16"/>
      <c r="E29" s="17"/>
      <c r="F29" s="17"/>
      <c r="G29" s="17"/>
      <c r="H29" s="24"/>
      <c r="I29" s="24"/>
      <c r="J29" s="15"/>
    </row>
    <row r="30" spans="1:12">
      <c r="A30" s="15"/>
      <c r="B30" s="16"/>
      <c r="C30" s="16"/>
      <c r="D30" s="16"/>
      <c r="E30" s="17"/>
      <c r="F30" s="17"/>
      <c r="G30" s="17"/>
      <c r="H30" s="24"/>
      <c r="I30" s="24"/>
      <c r="J30" s="15"/>
    </row>
    <row r="31" spans="1:12">
      <c r="A31" s="15"/>
      <c r="B31" s="16"/>
      <c r="C31" s="16"/>
      <c r="D31" s="16"/>
      <c r="E31" s="17"/>
      <c r="F31" s="17"/>
      <c r="G31" s="17"/>
      <c r="J31" s="15"/>
    </row>
    <row r="32" spans="1:12">
      <c r="A32" s="15"/>
      <c r="B32" s="16"/>
      <c r="C32" s="16"/>
      <c r="D32" s="16"/>
      <c r="E32" s="17"/>
      <c r="F32" s="17"/>
      <c r="G32" s="17"/>
      <c r="J32" s="15"/>
    </row>
    <row r="33" spans="1:10">
      <c r="A33" s="15"/>
      <c r="B33" s="16"/>
      <c r="C33" s="16"/>
      <c r="D33" s="16"/>
      <c r="E33" s="17"/>
      <c r="F33" s="17"/>
      <c r="G33" s="17"/>
      <c r="J33" s="15"/>
    </row>
    <row r="34" spans="1:10">
      <c r="A34" s="15"/>
      <c r="B34" s="16"/>
      <c r="C34" s="16"/>
      <c r="D34" s="16"/>
      <c r="E34" s="17"/>
      <c r="F34" s="17"/>
      <c r="G34" s="17"/>
      <c r="J34" s="15"/>
    </row>
    <row r="35" spans="1:10">
      <c r="A35" s="15"/>
      <c r="B35" s="16"/>
      <c r="C35" s="16"/>
      <c r="D35" s="16"/>
      <c r="E35" s="17"/>
      <c r="F35" s="17"/>
      <c r="G35" s="17"/>
      <c r="J35" s="15"/>
    </row>
    <row r="36" spans="1:10">
      <c r="A36" s="15"/>
      <c r="B36" s="16"/>
      <c r="C36" s="16"/>
      <c r="D36" s="16"/>
      <c r="E36" s="17"/>
      <c r="F36" s="17"/>
      <c r="G36" s="17"/>
      <c r="J36" s="15"/>
    </row>
    <row r="37" spans="1:10">
      <c r="A37" s="15"/>
      <c r="B37" s="16"/>
      <c r="C37" s="16"/>
      <c r="D37" s="16"/>
      <c r="E37" s="17"/>
      <c r="F37" s="17"/>
      <c r="G37" s="17"/>
      <c r="J37" s="15"/>
    </row>
    <row r="38" spans="1:10">
      <c r="A38" s="15"/>
      <c r="B38" s="16"/>
      <c r="C38" s="16"/>
      <c r="D38" s="16"/>
      <c r="E38" s="17"/>
      <c r="F38" s="17"/>
      <c r="G38" s="17"/>
    </row>
    <row r="39" spans="1:10">
      <c r="A39" s="15"/>
      <c r="B39" s="16"/>
      <c r="C39" s="16"/>
      <c r="D39" s="16"/>
      <c r="E39" s="17"/>
      <c r="F39" s="17"/>
      <c r="G39" s="17"/>
    </row>
    <row r="40" spans="1:10">
      <c r="A40" s="15"/>
      <c r="B40" s="16"/>
      <c r="C40" s="16"/>
      <c r="D40" s="16"/>
      <c r="E40" s="17"/>
      <c r="F40" s="17"/>
      <c r="G40" s="17"/>
    </row>
    <row r="41" spans="1:10">
      <c r="A41" s="15"/>
      <c r="B41" s="16"/>
      <c r="C41" s="16"/>
      <c r="D41" s="16"/>
      <c r="E41" s="17"/>
      <c r="F41" s="17"/>
      <c r="G41" s="17"/>
    </row>
    <row r="42" spans="1:10">
      <c r="A42" s="15"/>
      <c r="B42" s="16"/>
      <c r="C42" s="16"/>
      <c r="D42" s="16"/>
      <c r="E42" s="17"/>
      <c r="F42" s="17"/>
      <c r="G42" s="17"/>
    </row>
    <row r="43" spans="1:10">
      <c r="A43" s="15"/>
      <c r="B43" s="16"/>
      <c r="C43" s="16"/>
      <c r="D43" s="16"/>
      <c r="E43" s="17"/>
      <c r="F43" s="17"/>
      <c r="G43" s="17"/>
    </row>
    <row r="44" spans="1:10">
      <c r="A44" s="15"/>
      <c r="B44" s="16"/>
      <c r="C44" s="16"/>
      <c r="D44" s="16"/>
      <c r="E44" s="17"/>
      <c r="F44" s="17"/>
      <c r="G44" s="17"/>
    </row>
    <row r="45" spans="1:10">
      <c r="A45" s="15"/>
      <c r="B45" s="16"/>
      <c r="C45" s="16"/>
      <c r="D45" s="16"/>
      <c r="E45" s="17"/>
      <c r="F45" s="17"/>
      <c r="G45" s="17"/>
    </row>
    <row r="46" spans="1:10">
      <c r="A46" s="15"/>
      <c r="B46" s="16"/>
      <c r="C46" s="16"/>
      <c r="D46" s="16"/>
      <c r="E46" s="17"/>
      <c r="F46" s="17"/>
      <c r="G46" s="17"/>
    </row>
    <row r="47" spans="1:10">
      <c r="A47" s="15"/>
      <c r="B47" s="16"/>
      <c r="C47" s="16"/>
      <c r="D47" s="16"/>
      <c r="E47" s="17"/>
      <c r="F47" s="17"/>
      <c r="G47" s="17"/>
    </row>
    <row r="48" spans="1:10">
      <c r="A48" s="15"/>
      <c r="B48" s="16"/>
      <c r="C48" s="16"/>
      <c r="D48" s="16"/>
      <c r="E48" s="17"/>
      <c r="F48" s="17"/>
      <c r="G48" s="17"/>
    </row>
    <row r="49" spans="1:7">
      <c r="A49" s="15"/>
      <c r="B49" s="16"/>
      <c r="C49" s="16"/>
      <c r="D49" s="16"/>
      <c r="E49" s="17"/>
      <c r="F49" s="17"/>
      <c r="G49" s="17"/>
    </row>
    <row r="50" spans="1:7">
      <c r="A50" s="15"/>
      <c r="B50" s="16"/>
      <c r="C50" s="16"/>
      <c r="D50" s="16"/>
      <c r="E50" s="17"/>
      <c r="F50" s="17"/>
      <c r="G50" s="17"/>
    </row>
    <row r="51" spans="1:7">
      <c r="A51" s="15"/>
      <c r="B51" s="16"/>
      <c r="C51" s="16"/>
      <c r="D51" s="16"/>
      <c r="E51" s="17"/>
      <c r="F51" s="17"/>
      <c r="G51" s="17"/>
    </row>
  </sheetData>
  <mergeCells count="26">
    <mergeCell ref="A1:L1"/>
    <mergeCell ref="B2:L2"/>
    <mergeCell ref="B3:L3"/>
    <mergeCell ref="J4:L4"/>
    <mergeCell ref="J5:L5"/>
    <mergeCell ref="J6:L6"/>
    <mergeCell ref="J7:L7"/>
    <mergeCell ref="A11:L11"/>
    <mergeCell ref="B13:L13"/>
    <mergeCell ref="B14:L14"/>
    <mergeCell ref="A9:D9"/>
    <mergeCell ref="A8:D8"/>
    <mergeCell ref="A27:D27"/>
    <mergeCell ref="J19:L19"/>
    <mergeCell ref="B12:L12"/>
    <mergeCell ref="J20:L20"/>
    <mergeCell ref="J21:L21"/>
    <mergeCell ref="J24:L24"/>
    <mergeCell ref="J22:L22"/>
    <mergeCell ref="J15:L15"/>
    <mergeCell ref="J16:L16"/>
    <mergeCell ref="J23:L23"/>
    <mergeCell ref="J25:L25"/>
    <mergeCell ref="A26:D26"/>
    <mergeCell ref="J17:L17"/>
    <mergeCell ref="J18:L18"/>
  </mergeCells>
  <pageMargins left="0.45" right="0.45" top="0.5" bottom="0.5" header="0.3" footer="0.3"/>
  <pageSetup scale="60" orientation="landscape" horizontalDpi="0" verticalDpi="0" r:id="rId1"/>
  <rowBreaks count="1" manualBreakCount="1">
    <brk id="10" max="16383" man="1"/>
  </rowBreaks>
</worksheet>
</file>

<file path=xl/worksheets/sheet7.xml><?xml version="1.0" encoding="utf-8"?>
<worksheet xmlns="http://schemas.openxmlformats.org/spreadsheetml/2006/main" xmlns:r="http://schemas.openxmlformats.org/officeDocument/2006/relationships">
  <dimension ref="A1:L51"/>
  <sheetViews>
    <sheetView topLeftCell="A23" zoomScaleNormal="100" workbookViewId="0">
      <selection activeCell="J21" sqref="J21:L21"/>
    </sheetView>
  </sheetViews>
  <sheetFormatPr defaultRowHeight="15"/>
  <cols>
    <col min="1" max="1" width="30.5703125" customWidth="1"/>
    <col min="2" max="2" width="19.85546875" customWidth="1"/>
    <col min="3" max="3" width="8" customWidth="1"/>
    <col min="4" max="4" width="12.85546875" customWidth="1"/>
    <col min="5" max="5" width="18.28515625" bestFit="1" customWidth="1"/>
    <col min="6" max="6" width="18.7109375" bestFit="1" customWidth="1"/>
    <col min="7" max="7" width="18.28515625" bestFit="1" customWidth="1"/>
    <col min="8" max="8" width="18.7109375" bestFit="1" customWidth="1"/>
    <col min="9" max="9" width="18.7109375" customWidth="1"/>
    <col min="10" max="10" width="16.28515625" customWidth="1"/>
    <col min="12" max="12" width="23.7109375" customWidth="1"/>
  </cols>
  <sheetData>
    <row r="1" spans="1:12" ht="36.75" customHeight="1">
      <c r="A1" s="64" t="s">
        <v>141</v>
      </c>
      <c r="B1" s="75"/>
      <c r="C1" s="75"/>
      <c r="D1" s="75"/>
      <c r="E1" s="75"/>
      <c r="F1" s="75"/>
      <c r="G1" s="75"/>
      <c r="H1" s="75"/>
      <c r="I1" s="75"/>
      <c r="J1" s="75"/>
      <c r="K1" s="75"/>
      <c r="L1" s="75"/>
    </row>
    <row r="2" spans="1:12" ht="24.95" customHeight="1">
      <c r="A2" s="20">
        <v>0.03</v>
      </c>
      <c r="B2" s="65" t="s">
        <v>35</v>
      </c>
      <c r="C2" s="65"/>
      <c r="D2" s="65"/>
      <c r="E2" s="65"/>
      <c r="F2" s="65"/>
      <c r="G2" s="65"/>
      <c r="H2" s="65"/>
      <c r="I2" s="65"/>
      <c r="J2" s="65"/>
      <c r="K2" s="65"/>
      <c r="L2" s="65"/>
    </row>
    <row r="3" spans="1:12" ht="24.95" customHeight="1">
      <c r="A3" s="20">
        <v>0.05</v>
      </c>
      <c r="B3" s="65" t="s">
        <v>34</v>
      </c>
      <c r="C3" s="65"/>
      <c r="D3" s="65"/>
      <c r="E3" s="65"/>
      <c r="F3" s="65"/>
      <c r="G3" s="65"/>
      <c r="H3" s="65"/>
      <c r="I3" s="65"/>
      <c r="J3" s="65"/>
      <c r="K3" s="65"/>
      <c r="L3" s="65"/>
    </row>
    <row r="4" spans="1:12" ht="30" customHeight="1">
      <c r="A4" s="28" t="s">
        <v>48</v>
      </c>
      <c r="B4" s="65" t="s">
        <v>50</v>
      </c>
      <c r="C4" s="65"/>
      <c r="D4" s="65"/>
      <c r="E4" s="65"/>
      <c r="F4" s="65"/>
      <c r="G4" s="65"/>
      <c r="H4" s="65"/>
      <c r="I4" s="65"/>
      <c r="J4" s="65"/>
      <c r="K4" s="65"/>
      <c r="L4" s="65"/>
    </row>
    <row r="5" spans="1:12" s="14" customFormat="1" ht="27" customHeight="1">
      <c r="A5" s="12" t="s">
        <v>79</v>
      </c>
      <c r="B5" s="12" t="s">
        <v>1</v>
      </c>
      <c r="C5" s="12" t="s">
        <v>2</v>
      </c>
      <c r="D5" s="13" t="s">
        <v>31</v>
      </c>
      <c r="E5" s="12" t="s">
        <v>3</v>
      </c>
      <c r="F5" s="12" t="s">
        <v>4</v>
      </c>
      <c r="G5" s="12" t="s">
        <v>5</v>
      </c>
      <c r="H5" s="12" t="s">
        <v>6</v>
      </c>
      <c r="I5" s="18" t="s">
        <v>124</v>
      </c>
      <c r="J5" s="66" t="s">
        <v>33</v>
      </c>
      <c r="K5" s="66"/>
      <c r="L5" s="66"/>
    </row>
    <row r="6" spans="1:12" s="3" customFormat="1" ht="49.5" customHeight="1">
      <c r="A6" s="15" t="s">
        <v>121</v>
      </c>
      <c r="B6" s="15" t="s">
        <v>44</v>
      </c>
      <c r="C6" s="22">
        <v>1</v>
      </c>
      <c r="D6" s="25">
        <f>50000*1.25</f>
        <v>62500</v>
      </c>
      <c r="E6" s="17">
        <f>(C6*D6)</f>
        <v>62500</v>
      </c>
      <c r="F6" s="17">
        <f>E6+(E6*A3)</f>
        <v>65625</v>
      </c>
      <c r="G6" s="17">
        <f>F6+(F6*A3)</f>
        <v>68906.25</v>
      </c>
      <c r="H6" s="23">
        <f>G6+(G6*A3)</f>
        <v>72351.5625</v>
      </c>
      <c r="I6" s="23">
        <f>ROUND(SUM(F6:H6),0)</f>
        <v>206883</v>
      </c>
      <c r="J6" s="62" t="s">
        <v>122</v>
      </c>
      <c r="K6" s="62"/>
      <c r="L6" s="62"/>
    </row>
    <row r="7" spans="1:12" ht="48.75" customHeight="1">
      <c r="A7" s="15" t="s">
        <v>120</v>
      </c>
      <c r="B7" s="15" t="s">
        <v>113</v>
      </c>
      <c r="C7" s="22">
        <f>100*12</f>
        <v>1200</v>
      </c>
      <c r="D7" s="25">
        <v>0.57999999999999996</v>
      </c>
      <c r="E7" s="17">
        <f>C7*D7</f>
        <v>696</v>
      </c>
      <c r="F7" s="17">
        <f>E7+(E7*A2)</f>
        <v>716.88</v>
      </c>
      <c r="G7" s="17">
        <f>F7+(F7*A2)</f>
        <v>738.38639999999998</v>
      </c>
      <c r="H7" s="17">
        <f>G7+(G7*A2)</f>
        <v>760.53799200000003</v>
      </c>
      <c r="I7" s="23">
        <f>ROUND(SUM(F7:H7),0)</f>
        <v>2216</v>
      </c>
      <c r="J7" s="62" t="s">
        <v>119</v>
      </c>
      <c r="K7" s="62"/>
      <c r="L7" s="62"/>
    </row>
    <row r="8" spans="1:12" s="3" customFormat="1" ht="66.75" customHeight="1">
      <c r="A8" s="15" t="s">
        <v>118</v>
      </c>
      <c r="B8" s="16" t="s">
        <v>83</v>
      </c>
      <c r="C8" s="22">
        <v>12</v>
      </c>
      <c r="D8" s="25">
        <v>4500</v>
      </c>
      <c r="E8" s="17">
        <f>(C8*D8)</f>
        <v>54000</v>
      </c>
      <c r="F8" s="17">
        <f>E8+(E8*A3)</f>
        <v>56700</v>
      </c>
      <c r="G8" s="17">
        <f>F8+(F8*A3)</f>
        <v>59535</v>
      </c>
      <c r="H8" s="23">
        <f>G8+(G8*A3)</f>
        <v>62511.75</v>
      </c>
      <c r="I8" s="23">
        <f>ROUND(SUM(F8:H8),0)</f>
        <v>178747</v>
      </c>
      <c r="J8" s="62" t="s">
        <v>142</v>
      </c>
      <c r="K8" s="62"/>
      <c r="L8" s="62"/>
    </row>
    <row r="9" spans="1:12" ht="42" customHeight="1">
      <c r="A9" s="67" t="s">
        <v>105</v>
      </c>
      <c r="B9" s="67"/>
      <c r="C9" s="67"/>
      <c r="D9" s="67"/>
      <c r="E9" s="17">
        <f>(SUM(E6:E8))*0.1</f>
        <v>11719.6</v>
      </c>
      <c r="F9" s="17">
        <f>(SUM(F6:F8))*0.1</f>
        <v>12304.188000000002</v>
      </c>
      <c r="G9" s="17">
        <f>(SUM(G6:G8))*0.1</f>
        <v>12917.963640000002</v>
      </c>
      <c r="H9" s="17">
        <f>(SUM(H6:H8))*0.1</f>
        <v>13562.3850492</v>
      </c>
      <c r="I9" s="23">
        <f>ROUND(SUM(F9:H9),0)</f>
        <v>38785</v>
      </c>
      <c r="J9" s="15"/>
      <c r="K9" s="15"/>
      <c r="L9" s="15"/>
    </row>
    <row r="10" spans="1:12">
      <c r="A10" s="63" t="s">
        <v>43</v>
      </c>
      <c r="B10" s="63"/>
      <c r="C10" s="63"/>
      <c r="D10" s="63"/>
      <c r="E10" s="26">
        <f>ROUND(SUM(E6:E9),0)</f>
        <v>128916</v>
      </c>
      <c r="F10" s="26">
        <f>ROUND(SUM(F6:F9),0)</f>
        <v>135346</v>
      </c>
      <c r="G10" s="26">
        <f>ROUND(SUM(G6:G9),0)</f>
        <v>142098</v>
      </c>
      <c r="H10" s="27">
        <f>ROUND(SUM(H6:H9),0)</f>
        <v>149186</v>
      </c>
      <c r="I10" s="27">
        <f>ROUND(SUM(F10:H10),0)</f>
        <v>426630</v>
      </c>
      <c r="J10" s="13"/>
      <c r="K10" s="4"/>
      <c r="L10" s="4"/>
    </row>
    <row r="11" spans="1:12">
      <c r="A11" s="15"/>
      <c r="B11" s="16"/>
      <c r="C11" s="16"/>
      <c r="D11" s="16"/>
      <c r="E11" s="17"/>
      <c r="F11" s="17"/>
      <c r="G11" s="17"/>
      <c r="H11" s="24"/>
      <c r="I11" s="24"/>
      <c r="J11" s="15"/>
    </row>
    <row r="12" spans="1:12" ht="42.75" customHeight="1">
      <c r="A12" s="77" t="s">
        <v>140</v>
      </c>
      <c r="B12" s="78"/>
      <c r="C12" s="78"/>
      <c r="D12" s="78"/>
      <c r="E12" s="78"/>
      <c r="F12" s="78"/>
      <c r="G12" s="78"/>
      <c r="H12" s="78"/>
      <c r="I12" s="78"/>
      <c r="J12" s="78"/>
      <c r="K12" s="78"/>
      <c r="L12" s="78"/>
    </row>
    <row r="13" spans="1:12" ht="24.95" customHeight="1">
      <c r="A13" s="20">
        <v>0.03</v>
      </c>
      <c r="B13" s="65" t="s">
        <v>35</v>
      </c>
      <c r="C13" s="65"/>
      <c r="D13" s="65"/>
      <c r="E13" s="65"/>
      <c r="F13" s="65"/>
      <c r="G13" s="65"/>
      <c r="H13" s="65"/>
      <c r="I13" s="65"/>
      <c r="J13" s="65"/>
      <c r="K13" s="65"/>
      <c r="L13" s="65"/>
    </row>
    <row r="14" spans="1:12" ht="15" customHeight="1">
      <c r="A14" s="20">
        <v>0.05</v>
      </c>
      <c r="B14" s="65" t="s">
        <v>34</v>
      </c>
      <c r="C14" s="65"/>
      <c r="D14" s="65"/>
      <c r="E14" s="65"/>
      <c r="F14" s="65"/>
      <c r="G14" s="65"/>
      <c r="H14" s="65"/>
      <c r="I14" s="65"/>
      <c r="J14" s="65"/>
      <c r="K14" s="65"/>
      <c r="L14" s="65"/>
    </row>
    <row r="15" spans="1:12" ht="15" customHeight="1">
      <c r="A15" s="21" t="s">
        <v>44</v>
      </c>
      <c r="B15" s="65" t="s">
        <v>85</v>
      </c>
      <c r="C15" s="65"/>
      <c r="D15" s="65"/>
      <c r="E15" s="65"/>
      <c r="F15" s="65"/>
      <c r="G15" s="65"/>
      <c r="H15" s="65"/>
      <c r="I15" s="65"/>
      <c r="J15" s="65"/>
      <c r="K15" s="65"/>
      <c r="L15" s="65"/>
    </row>
    <row r="16" spans="1:12" ht="30">
      <c r="A16" s="12" t="s">
        <v>79</v>
      </c>
      <c r="B16" s="12" t="s">
        <v>1</v>
      </c>
      <c r="C16" s="12" t="s">
        <v>2</v>
      </c>
      <c r="D16" s="13" t="s">
        <v>31</v>
      </c>
      <c r="E16" s="12" t="s">
        <v>3</v>
      </c>
      <c r="F16" s="12" t="s">
        <v>4</v>
      </c>
      <c r="G16" s="12" t="s">
        <v>5</v>
      </c>
      <c r="H16" s="12" t="s">
        <v>6</v>
      </c>
      <c r="I16" s="18" t="s">
        <v>124</v>
      </c>
      <c r="J16" s="66" t="s">
        <v>33</v>
      </c>
      <c r="K16" s="66"/>
      <c r="L16" s="66"/>
    </row>
    <row r="17" spans="1:12" ht="85.5" customHeight="1">
      <c r="A17" s="15" t="s">
        <v>107</v>
      </c>
      <c r="B17" s="16" t="s">
        <v>83</v>
      </c>
      <c r="C17" s="22">
        <f>20*50</f>
        <v>1000</v>
      </c>
      <c r="D17" s="25">
        <v>75</v>
      </c>
      <c r="E17" s="17">
        <f>(C17*D17)</f>
        <v>75000</v>
      </c>
      <c r="F17" s="17">
        <f>E17+(E17*A14)</f>
        <v>78750</v>
      </c>
      <c r="G17" s="17">
        <f>F17+(F17*A14)</f>
        <v>82687.5</v>
      </c>
      <c r="H17" s="23">
        <f>G17+(G17*A14)</f>
        <v>86821.875</v>
      </c>
      <c r="I17" s="23">
        <f t="shared" ref="I17:I27" si="0">ROUND(SUM(F17:H17),0)</f>
        <v>248259</v>
      </c>
      <c r="J17" s="62" t="s">
        <v>148</v>
      </c>
      <c r="K17" s="62"/>
      <c r="L17" s="62"/>
    </row>
    <row r="18" spans="1:12" ht="86.25" customHeight="1">
      <c r="A18" s="15" t="s">
        <v>108</v>
      </c>
      <c r="B18" s="16" t="s">
        <v>83</v>
      </c>
      <c r="C18" s="22">
        <f>10*50</f>
        <v>500</v>
      </c>
      <c r="D18" s="25">
        <v>50</v>
      </c>
      <c r="E18" s="17">
        <f>(C18*D18)</f>
        <v>25000</v>
      </c>
      <c r="F18" s="17">
        <f>E18+(E18*A14)</f>
        <v>26250</v>
      </c>
      <c r="G18" s="17">
        <f>F18+(F18*A14)</f>
        <v>27562.5</v>
      </c>
      <c r="H18" s="23">
        <f>G18+(G18*A14)</f>
        <v>28940.625</v>
      </c>
      <c r="I18" s="23">
        <f>ROUND(SUM(F18:H18),0)</f>
        <v>82753</v>
      </c>
      <c r="J18" s="62" t="s">
        <v>146</v>
      </c>
      <c r="K18" s="62"/>
      <c r="L18" s="62"/>
    </row>
    <row r="19" spans="1:12" ht="54" customHeight="1">
      <c r="A19" s="15" t="s">
        <v>109</v>
      </c>
      <c r="B19" s="16" t="s">
        <v>83</v>
      </c>
      <c r="C19" s="22">
        <f>15*50</f>
        <v>750</v>
      </c>
      <c r="D19" s="25">
        <v>25</v>
      </c>
      <c r="E19" s="17">
        <f>(C19*D19)</f>
        <v>18750</v>
      </c>
      <c r="F19" s="17">
        <f>E19+(E19*A14)</f>
        <v>19687.5</v>
      </c>
      <c r="G19" s="17">
        <f>F19+(F19*A14)</f>
        <v>20671.875</v>
      </c>
      <c r="H19" s="23">
        <f>G19+(G19*A14)</f>
        <v>21705.46875</v>
      </c>
      <c r="I19" s="23">
        <f t="shared" si="0"/>
        <v>62065</v>
      </c>
      <c r="J19" s="62" t="s">
        <v>147</v>
      </c>
      <c r="K19" s="62"/>
      <c r="L19" s="62"/>
    </row>
    <row r="20" spans="1:12" ht="64.5" customHeight="1">
      <c r="A20" s="15" t="s">
        <v>111</v>
      </c>
      <c r="B20" s="16" t="s">
        <v>83</v>
      </c>
      <c r="C20" s="22">
        <f>2*10*50</f>
        <v>1000</v>
      </c>
      <c r="D20" s="25">
        <v>15</v>
      </c>
      <c r="E20" s="17">
        <f>C20*D20*3</f>
        <v>45000</v>
      </c>
      <c r="F20" s="17">
        <f>E20+(E20*A13)</f>
        <v>46350</v>
      </c>
      <c r="G20" s="17">
        <f>F20+(F20*A13)</f>
        <v>47740.5</v>
      </c>
      <c r="H20" s="23">
        <f>G20+(G20*A13)</f>
        <v>49172.714999999997</v>
      </c>
      <c r="I20" s="23">
        <f t="shared" si="0"/>
        <v>143263</v>
      </c>
      <c r="J20" s="62" t="s">
        <v>110</v>
      </c>
      <c r="K20" s="62"/>
      <c r="L20" s="62"/>
    </row>
    <row r="21" spans="1:12" ht="69.75" customHeight="1">
      <c r="A21" s="15" t="s">
        <v>112</v>
      </c>
      <c r="B21" s="42" t="s">
        <v>113</v>
      </c>
      <c r="C21" s="22">
        <f>100*2*12</f>
        <v>2400</v>
      </c>
      <c r="D21" s="25">
        <v>0.57999999999999996</v>
      </c>
      <c r="E21" s="17">
        <f>C21*D21</f>
        <v>1392</v>
      </c>
      <c r="F21" s="17">
        <f>E21+(E21*A13)</f>
        <v>1433.76</v>
      </c>
      <c r="G21" s="17">
        <f>F21+(F21*A13)</f>
        <v>1476.7728</v>
      </c>
      <c r="H21" s="17">
        <f>G21+(G21*A13)</f>
        <v>1521.0759840000001</v>
      </c>
      <c r="I21" s="23">
        <f t="shared" si="0"/>
        <v>4432</v>
      </c>
      <c r="J21" s="62" t="s">
        <v>151</v>
      </c>
      <c r="K21" s="62"/>
      <c r="L21" s="62"/>
    </row>
    <row r="22" spans="1:12" ht="64.5" customHeight="1">
      <c r="A22" s="42" t="s">
        <v>153</v>
      </c>
      <c r="B22" s="42" t="s">
        <v>113</v>
      </c>
      <c r="C22" s="22">
        <f>(6*5*50)+(2*2*3*4)</f>
        <v>1548</v>
      </c>
      <c r="D22" s="25">
        <v>3</v>
      </c>
      <c r="E22" s="25">
        <f>C22*D22</f>
        <v>4644</v>
      </c>
      <c r="F22" s="25">
        <f>E22+(E22*A13)</f>
        <v>4783.32</v>
      </c>
      <c r="G22" s="25">
        <f>F22+(F22*A13)</f>
        <v>4926.8195999999998</v>
      </c>
      <c r="H22" s="25">
        <f>G22+(G22*A13)</f>
        <v>5074.6241879999998</v>
      </c>
      <c r="I22" s="23">
        <f t="shared" si="0"/>
        <v>14785</v>
      </c>
      <c r="J22" s="62" t="s">
        <v>150</v>
      </c>
      <c r="K22" s="62"/>
      <c r="L22" s="62"/>
    </row>
    <row r="23" spans="1:12" ht="52.5" customHeight="1">
      <c r="A23" s="15" t="s">
        <v>114</v>
      </c>
      <c r="B23" s="15" t="s">
        <v>70</v>
      </c>
      <c r="C23" s="22">
        <f>2*3*2*4</f>
        <v>48</v>
      </c>
      <c r="D23" s="25">
        <v>25</v>
      </c>
      <c r="E23" s="25">
        <f>C23*D23</f>
        <v>1200</v>
      </c>
      <c r="F23" s="25">
        <f>E23+(E23*A13)</f>
        <v>1236</v>
      </c>
      <c r="G23" s="25">
        <f>F23+(F23*A13)</f>
        <v>1273.08</v>
      </c>
      <c r="H23" s="25">
        <f>G23+(G23*A13)</f>
        <v>1311.2723999999998</v>
      </c>
      <c r="I23" s="23">
        <f t="shared" si="0"/>
        <v>3820</v>
      </c>
      <c r="J23" s="62" t="s">
        <v>149</v>
      </c>
      <c r="K23" s="62"/>
      <c r="L23" s="62"/>
    </row>
    <row r="24" spans="1:12" ht="128.25" customHeight="1">
      <c r="A24" s="42" t="s">
        <v>115</v>
      </c>
      <c r="B24" s="15" t="s">
        <v>116</v>
      </c>
      <c r="C24" s="22">
        <v>5</v>
      </c>
      <c r="D24" s="25">
        <v>2175</v>
      </c>
      <c r="E24" s="25">
        <f>C24*D24</f>
        <v>10875</v>
      </c>
      <c r="F24" s="25">
        <f>500*5</f>
        <v>2500</v>
      </c>
      <c r="G24" s="25">
        <f>F24+(F24*A13)</f>
        <v>2575</v>
      </c>
      <c r="H24" s="25">
        <f>G24+(G24*A13)</f>
        <v>2652.25</v>
      </c>
      <c r="I24" s="23">
        <f t="shared" si="0"/>
        <v>7727</v>
      </c>
      <c r="J24" s="62" t="s">
        <v>152</v>
      </c>
      <c r="K24" s="62"/>
      <c r="L24" s="62"/>
    </row>
    <row r="25" spans="1:12" ht="104.25" customHeight="1">
      <c r="A25" s="15" t="s">
        <v>125</v>
      </c>
      <c r="B25" s="15" t="s">
        <v>13</v>
      </c>
      <c r="C25" s="22">
        <v>1</v>
      </c>
      <c r="D25" s="25">
        <f>100*12</f>
        <v>1200</v>
      </c>
      <c r="E25" s="17">
        <f>C25*D25</f>
        <v>1200</v>
      </c>
      <c r="F25" s="17">
        <f>E25+(E25*A13)</f>
        <v>1236</v>
      </c>
      <c r="G25" s="17">
        <f>F25+(F25*A13)</f>
        <v>1273.08</v>
      </c>
      <c r="H25" s="23">
        <f>G25+(G25*A13)</f>
        <v>1311.2723999999998</v>
      </c>
      <c r="I25" s="23">
        <f t="shared" si="0"/>
        <v>3820</v>
      </c>
      <c r="J25" s="62" t="s">
        <v>117</v>
      </c>
      <c r="K25" s="62"/>
      <c r="L25" s="62"/>
    </row>
    <row r="26" spans="1:12" ht="42" customHeight="1">
      <c r="A26" s="67" t="s">
        <v>105</v>
      </c>
      <c r="B26" s="67"/>
      <c r="C26" s="67"/>
      <c r="D26" s="67"/>
      <c r="E26" s="17">
        <f>0.1*(SUM(E17:E25))</f>
        <v>18306.100000000002</v>
      </c>
      <c r="F26" s="17">
        <f>0.1*(SUM(F17:F25))</f>
        <v>18222.658000000003</v>
      </c>
      <c r="G26" s="17">
        <f>0.1*(SUM(G17:G25))</f>
        <v>19018.712739999999</v>
      </c>
      <c r="H26" s="17">
        <f>0.1*(SUM(H17:H25))</f>
        <v>19851.117872199997</v>
      </c>
      <c r="I26" s="23">
        <f t="shared" si="0"/>
        <v>57092</v>
      </c>
      <c r="J26" s="15"/>
      <c r="K26" s="15"/>
      <c r="L26" s="15"/>
    </row>
    <row r="27" spans="1:12">
      <c r="A27" s="63" t="s">
        <v>43</v>
      </c>
      <c r="B27" s="63"/>
      <c r="C27" s="63"/>
      <c r="D27" s="63"/>
      <c r="E27" s="26">
        <f>ROUND(SUM(E17:E26),0)</f>
        <v>201367</v>
      </c>
      <c r="F27" s="26">
        <f>ROUND(SUM(F17:F25),0)</f>
        <v>182227</v>
      </c>
      <c r="G27" s="26">
        <f>ROUND(SUM(G17:G25),0)</f>
        <v>190187</v>
      </c>
      <c r="H27" s="27">
        <f>ROUND(SUM(H17:H25),0)</f>
        <v>198511</v>
      </c>
      <c r="I27" s="27">
        <f t="shared" si="0"/>
        <v>570925</v>
      </c>
      <c r="J27" s="13"/>
      <c r="K27" s="4"/>
      <c r="L27" s="4"/>
    </row>
    <row r="28" spans="1:12">
      <c r="A28" s="15"/>
      <c r="B28" s="16"/>
      <c r="C28" s="16"/>
      <c r="D28" s="16"/>
      <c r="E28" s="17"/>
      <c r="F28" s="17"/>
      <c r="G28" s="17"/>
      <c r="H28" s="24"/>
      <c r="I28" s="24"/>
      <c r="J28" s="15"/>
    </row>
    <row r="29" spans="1:12">
      <c r="A29" s="15"/>
      <c r="B29" s="16"/>
      <c r="C29" s="16"/>
      <c r="D29" s="16"/>
      <c r="E29" s="17"/>
      <c r="F29" s="17"/>
      <c r="G29" s="17"/>
      <c r="H29" s="24"/>
      <c r="I29" s="24"/>
      <c r="J29" s="15"/>
    </row>
    <row r="30" spans="1:12">
      <c r="A30" s="15"/>
      <c r="B30" s="16"/>
      <c r="C30" s="16"/>
      <c r="D30" s="16"/>
      <c r="E30" s="17"/>
      <c r="F30" s="17"/>
      <c r="G30" s="17"/>
      <c r="H30" s="24"/>
      <c r="I30" s="24"/>
      <c r="J30" s="15"/>
    </row>
    <row r="31" spans="1:12">
      <c r="A31" s="15"/>
      <c r="B31" s="16"/>
      <c r="C31" s="16"/>
      <c r="D31" s="16"/>
      <c r="E31" s="17"/>
      <c r="F31" s="17"/>
      <c r="G31" s="17"/>
      <c r="J31" s="15"/>
    </row>
    <row r="32" spans="1:12">
      <c r="A32" s="15"/>
      <c r="B32" s="16"/>
      <c r="C32" s="16"/>
      <c r="D32" s="16"/>
      <c r="E32" s="17"/>
      <c r="F32" s="17"/>
      <c r="G32" s="17"/>
      <c r="J32" s="15"/>
    </row>
    <row r="33" spans="1:10">
      <c r="A33" s="15"/>
      <c r="B33" s="16"/>
      <c r="C33" s="16"/>
      <c r="D33" s="16"/>
      <c r="E33" s="17"/>
      <c r="F33" s="17"/>
      <c r="G33" s="17"/>
      <c r="J33" s="15"/>
    </row>
    <row r="34" spans="1:10">
      <c r="A34" s="15"/>
      <c r="B34" s="16"/>
      <c r="C34" s="16"/>
      <c r="D34" s="16"/>
      <c r="E34" s="17"/>
      <c r="F34" s="17"/>
      <c r="G34" s="17"/>
      <c r="J34" s="15"/>
    </row>
    <row r="35" spans="1:10">
      <c r="A35" s="15"/>
      <c r="B35" s="16"/>
      <c r="C35" s="16"/>
      <c r="D35" s="16"/>
      <c r="E35" s="17"/>
      <c r="F35" s="17"/>
      <c r="G35" s="17"/>
      <c r="J35" s="15"/>
    </row>
    <row r="36" spans="1:10">
      <c r="A36" s="15"/>
      <c r="B36" s="16"/>
      <c r="C36" s="16"/>
      <c r="D36" s="16"/>
      <c r="E36" s="17"/>
      <c r="F36" s="17"/>
      <c r="G36" s="17"/>
      <c r="J36" s="15"/>
    </row>
    <row r="37" spans="1:10">
      <c r="A37" s="15"/>
      <c r="B37" s="16"/>
      <c r="C37" s="16"/>
      <c r="D37" s="16"/>
      <c r="E37" s="17"/>
      <c r="F37" s="17"/>
      <c r="G37" s="17"/>
      <c r="J37" s="15"/>
    </row>
    <row r="38" spans="1:10">
      <c r="A38" s="15"/>
      <c r="B38" s="16"/>
      <c r="C38" s="16"/>
      <c r="D38" s="16"/>
      <c r="E38" s="17"/>
      <c r="F38" s="17"/>
      <c r="G38" s="17"/>
    </row>
    <row r="39" spans="1:10">
      <c r="A39" s="15"/>
      <c r="B39" s="16"/>
      <c r="C39" s="16"/>
      <c r="D39" s="16"/>
      <c r="E39" s="17"/>
      <c r="F39" s="17"/>
      <c r="G39" s="17"/>
    </row>
    <row r="40" spans="1:10">
      <c r="A40" s="15"/>
      <c r="B40" s="16"/>
      <c r="C40" s="16"/>
      <c r="D40" s="16"/>
      <c r="E40" s="17"/>
      <c r="F40" s="17"/>
      <c r="G40" s="17"/>
    </row>
    <row r="41" spans="1:10">
      <c r="A41" s="15"/>
      <c r="B41" s="16"/>
      <c r="C41" s="16"/>
      <c r="D41" s="16"/>
      <c r="E41" s="17"/>
      <c r="F41" s="17"/>
      <c r="G41" s="17"/>
    </row>
    <row r="42" spans="1:10">
      <c r="A42" s="15"/>
      <c r="B42" s="16"/>
      <c r="C42" s="16"/>
      <c r="D42" s="16"/>
      <c r="E42" s="17"/>
      <c r="F42" s="17"/>
      <c r="G42" s="17"/>
    </row>
    <row r="43" spans="1:10">
      <c r="A43" s="15"/>
      <c r="B43" s="16"/>
      <c r="C43" s="16"/>
      <c r="D43" s="16"/>
      <c r="E43" s="17"/>
      <c r="F43" s="17"/>
      <c r="G43" s="17"/>
    </row>
    <row r="44" spans="1:10">
      <c r="A44" s="15"/>
      <c r="B44" s="16"/>
      <c r="C44" s="16"/>
      <c r="D44" s="16"/>
      <c r="E44" s="17"/>
      <c r="F44" s="17"/>
      <c r="G44" s="17"/>
    </row>
    <row r="45" spans="1:10">
      <c r="A45" s="15"/>
      <c r="B45" s="16"/>
      <c r="C45" s="16"/>
      <c r="D45" s="16"/>
      <c r="E45" s="17"/>
      <c r="F45" s="17"/>
      <c r="G45" s="17"/>
    </row>
    <row r="46" spans="1:10">
      <c r="A46" s="15"/>
      <c r="B46" s="16"/>
      <c r="C46" s="16"/>
      <c r="D46" s="16"/>
      <c r="E46" s="17"/>
      <c r="F46" s="17"/>
      <c r="G46" s="17"/>
    </row>
    <row r="47" spans="1:10">
      <c r="A47" s="15"/>
      <c r="B47" s="16"/>
      <c r="C47" s="16"/>
      <c r="D47" s="16"/>
      <c r="E47" s="17"/>
      <c r="F47" s="17"/>
      <c r="G47" s="17"/>
    </row>
    <row r="48" spans="1:10">
      <c r="A48" s="15"/>
      <c r="B48" s="16"/>
      <c r="C48" s="16"/>
      <c r="D48" s="16"/>
      <c r="E48" s="17"/>
      <c r="F48" s="17"/>
      <c r="G48" s="17"/>
    </row>
    <row r="49" spans="1:7">
      <c r="A49" s="15"/>
      <c r="B49" s="16"/>
      <c r="C49" s="16"/>
      <c r="D49" s="16"/>
      <c r="E49" s="17"/>
      <c r="F49" s="17"/>
      <c r="G49" s="17"/>
    </row>
    <row r="50" spans="1:7">
      <c r="A50" s="15"/>
      <c r="B50" s="16"/>
      <c r="C50" s="16"/>
      <c r="D50" s="16"/>
      <c r="E50" s="17"/>
      <c r="F50" s="17"/>
      <c r="G50" s="17"/>
    </row>
    <row r="51" spans="1:7">
      <c r="A51" s="15"/>
      <c r="B51" s="16"/>
      <c r="C51" s="16"/>
      <c r="D51" s="16"/>
      <c r="E51" s="17"/>
      <c r="F51" s="17"/>
      <c r="G51" s="17"/>
    </row>
  </sheetData>
  <mergeCells count="26">
    <mergeCell ref="A1:L1"/>
    <mergeCell ref="B3:L3"/>
    <mergeCell ref="B4:L4"/>
    <mergeCell ref="J5:L5"/>
    <mergeCell ref="J8:L8"/>
    <mergeCell ref="A9:D9"/>
    <mergeCell ref="A10:D10"/>
    <mergeCell ref="A12:L12"/>
    <mergeCell ref="B13:L13"/>
    <mergeCell ref="B14:L14"/>
    <mergeCell ref="A26:D26"/>
    <mergeCell ref="A27:D27"/>
    <mergeCell ref="J6:L6"/>
    <mergeCell ref="B2:L2"/>
    <mergeCell ref="J7:L7"/>
    <mergeCell ref="J21:L21"/>
    <mergeCell ref="J22:L22"/>
    <mergeCell ref="J23:L23"/>
    <mergeCell ref="J24:L24"/>
    <mergeCell ref="J25:L25"/>
    <mergeCell ref="B15:L15"/>
    <mergeCell ref="J16:L16"/>
    <mergeCell ref="J17:L17"/>
    <mergeCell ref="J18:L18"/>
    <mergeCell ref="J19:L19"/>
    <mergeCell ref="J20:L20"/>
  </mergeCells>
  <pageMargins left="0.45" right="0.45" top="0.5" bottom="0.5" header="0.3" footer="0.3"/>
  <pageSetup scale="60" orientation="landscape" horizontalDpi="0" verticalDpi="0" r:id="rId1"/>
  <rowBreaks count="1" manualBreakCount="1">
    <brk id="11" max="16383" man="1"/>
  </rowBreaks>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NCP Budget Summary</vt:lpstr>
      <vt:lpstr>Narrative</vt:lpstr>
      <vt:lpstr>Anchor Agency (3)</vt:lpstr>
      <vt:lpstr>Support Services Partners</vt:lpstr>
      <vt:lpstr>Anchor Agencies (3)</vt:lpstr>
      <vt:lpstr>MC2 and OTG</vt:lpstr>
      <vt:lpstr>BTS and C3</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Jocelyn</dc:creator>
  <cp:lastModifiedBy>Jocelyn</cp:lastModifiedBy>
  <cp:lastPrinted>2022-07-28T19:34:19Z</cp:lastPrinted>
  <dcterms:created xsi:type="dcterms:W3CDTF">2022-07-21T20:13:28Z</dcterms:created>
  <dcterms:modified xsi:type="dcterms:W3CDTF">2022-07-29T01:03:08Z</dcterms:modified>
</cp:coreProperties>
</file>